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resightgroupllp-my.sharepoint.com/personal/lbromfield_foresightgroup_eu/Documents/Documents/"/>
    </mc:Choice>
  </mc:AlternateContent>
  <xr:revisionPtr revIDLastSave="0" documentId="14_{0D23031F-F265-423E-BF4C-F3E9DF53077D}" xr6:coauthVersionLast="47" xr6:coauthVersionMax="47" xr10:uidLastSave="{00000000-0000-0000-0000-000000000000}"/>
  <bookViews>
    <workbookView xWindow="28680" yWindow="-120" windowWidth="29040" windowHeight="15720" xr2:uid="{937D8C1C-7536-41AB-BA12-BAC589A31A04}"/>
  </bookViews>
  <sheets>
    <sheet name="-New-Configuration" sheetId="1" r:id="rId1"/>
  </sheets>
  <calcPr calcId="0"/>
</workbook>
</file>

<file path=xl/calcChain.xml><?xml version="1.0" encoding="utf-8"?>
<calcChain xmlns="http://schemas.openxmlformats.org/spreadsheetml/2006/main">
  <c r="W2" i="1" l="1"/>
  <c r="BH2" i="1"/>
  <c r="K3" i="1"/>
  <c r="W3" i="1"/>
  <c r="BH3" i="1"/>
  <c r="K4" i="1"/>
  <c r="W4" i="1"/>
  <c r="BH4" i="1"/>
  <c r="K5" i="1"/>
  <c r="W5" i="1"/>
  <c r="AP5" i="1"/>
  <c r="BH5" i="1"/>
  <c r="K6" i="1"/>
  <c r="W6" i="1"/>
  <c r="AO6" i="1"/>
  <c r="AP6" i="1"/>
  <c r="BH6" i="1"/>
  <c r="K7" i="1"/>
  <c r="W7" i="1"/>
  <c r="AO7" i="1"/>
  <c r="BH7" i="1"/>
  <c r="K8" i="1"/>
  <c r="W8" i="1"/>
  <c r="BH8" i="1"/>
  <c r="K9" i="1"/>
  <c r="W9" i="1"/>
  <c r="AO9" i="1"/>
  <c r="AP9" i="1"/>
  <c r="BH9" i="1"/>
  <c r="K10" i="1"/>
  <c r="W10" i="1"/>
  <c r="BH10" i="1"/>
  <c r="K11" i="1"/>
  <c r="W11" i="1"/>
  <c r="BH11" i="1"/>
  <c r="K12" i="1"/>
  <c r="W12" i="1"/>
  <c r="AO12" i="1"/>
  <c r="AP12" i="1"/>
  <c r="BH12" i="1"/>
  <c r="K13" i="1"/>
  <c r="W13" i="1"/>
  <c r="BH13" i="1"/>
  <c r="K14" i="1"/>
  <c r="W14" i="1"/>
  <c r="BH14" i="1"/>
  <c r="K15" i="1"/>
  <c r="W15" i="1"/>
  <c r="BH15" i="1"/>
  <c r="W16" i="1"/>
  <c r="BH16" i="1"/>
  <c r="W17" i="1"/>
  <c r="BH17" i="1"/>
  <c r="W18" i="1"/>
  <c r="BH18" i="1"/>
  <c r="W19" i="1"/>
  <c r="BH19" i="1"/>
  <c r="W20" i="1"/>
  <c r="BH20" i="1"/>
  <c r="W21" i="1"/>
  <c r="AO21" i="1"/>
  <c r="BH21" i="1"/>
  <c r="W22" i="1"/>
  <c r="BH22" i="1"/>
  <c r="W23" i="1"/>
  <c r="BH23" i="1"/>
  <c r="W24" i="1"/>
  <c r="BH24" i="1"/>
  <c r="W25" i="1"/>
  <c r="BH25" i="1"/>
  <c r="W26" i="1"/>
  <c r="BH26" i="1"/>
  <c r="W27" i="1"/>
  <c r="BH27" i="1"/>
  <c r="W28" i="1"/>
  <c r="BH28" i="1"/>
  <c r="W29" i="1"/>
  <c r="BH29" i="1"/>
  <c r="W30" i="1"/>
  <c r="BH30" i="1"/>
  <c r="W31" i="1"/>
  <c r="BH31" i="1"/>
  <c r="W32" i="1"/>
  <c r="BH32" i="1"/>
  <c r="W33" i="1"/>
  <c r="BH33" i="1"/>
  <c r="W34" i="1"/>
  <c r="BH34" i="1"/>
  <c r="W35" i="1"/>
  <c r="BH35" i="1"/>
  <c r="W36" i="1"/>
  <c r="BH36" i="1"/>
  <c r="W37" i="1"/>
  <c r="BH37" i="1"/>
  <c r="W38" i="1"/>
  <c r="BH38" i="1"/>
  <c r="W39" i="1"/>
  <c r="BH39" i="1"/>
  <c r="W40" i="1"/>
  <c r="BH40" i="1"/>
  <c r="W41" i="1"/>
  <c r="BH41" i="1"/>
  <c r="W42" i="1"/>
  <c r="BH42" i="1"/>
  <c r="W43" i="1"/>
  <c r="BH43" i="1"/>
  <c r="W44" i="1"/>
  <c r="AO44" i="1"/>
  <c r="BH44" i="1"/>
  <c r="W45" i="1"/>
  <c r="AO45" i="1"/>
  <c r="AP45" i="1"/>
  <c r="BH45" i="1"/>
  <c r="W46" i="1"/>
  <c r="AO46" i="1"/>
  <c r="AP46" i="1"/>
  <c r="BH46" i="1"/>
  <c r="W47" i="1"/>
  <c r="AO47" i="1"/>
  <c r="AP47" i="1"/>
  <c r="BH47" i="1"/>
  <c r="W48" i="1"/>
  <c r="BH48" i="1"/>
  <c r="W49" i="1"/>
  <c r="BH49" i="1"/>
  <c r="W50" i="1"/>
  <c r="BH50" i="1"/>
  <c r="W51" i="1"/>
  <c r="BH51" i="1"/>
  <c r="W52" i="1"/>
  <c r="BH52" i="1"/>
  <c r="W53" i="1"/>
  <c r="BH53" i="1"/>
  <c r="W54" i="1"/>
  <c r="BH54" i="1"/>
  <c r="W55" i="1"/>
  <c r="AO55" i="1"/>
  <c r="BH55" i="1"/>
  <c r="W56" i="1"/>
  <c r="BH56" i="1"/>
  <c r="W57" i="1"/>
  <c r="BH57" i="1"/>
  <c r="W58" i="1"/>
  <c r="BH58" i="1"/>
  <c r="W59" i="1"/>
  <c r="BH59" i="1"/>
  <c r="W60" i="1"/>
  <c r="BH60" i="1"/>
  <c r="W61" i="1"/>
  <c r="BH61" i="1"/>
  <c r="W62" i="1"/>
  <c r="BH62" i="1"/>
  <c r="W63" i="1"/>
  <c r="BH63" i="1"/>
  <c r="W64" i="1"/>
  <c r="BH64" i="1"/>
  <c r="W65" i="1"/>
  <c r="BH65" i="1"/>
  <c r="W66" i="1"/>
  <c r="BH66" i="1"/>
  <c r="W67" i="1"/>
  <c r="BH67" i="1"/>
  <c r="W68" i="1"/>
  <c r="BH68" i="1"/>
  <c r="W69" i="1"/>
  <c r="BH69" i="1"/>
  <c r="W70" i="1"/>
  <c r="BH70" i="1"/>
  <c r="W71" i="1"/>
  <c r="BH71" i="1"/>
  <c r="W72" i="1"/>
  <c r="BH72" i="1"/>
  <c r="W73" i="1"/>
  <c r="BH73" i="1"/>
  <c r="W74" i="1"/>
  <c r="BH74" i="1"/>
  <c r="W75" i="1"/>
  <c r="BH75" i="1"/>
  <c r="W76" i="1"/>
  <c r="BH76" i="1"/>
  <c r="W77" i="1"/>
  <c r="BH77" i="1"/>
  <c r="W78" i="1"/>
  <c r="AO78" i="1"/>
  <c r="BH78" i="1"/>
  <c r="W79" i="1"/>
  <c r="AO79" i="1"/>
  <c r="AP79" i="1"/>
  <c r="BH79" i="1"/>
  <c r="W80" i="1"/>
  <c r="AO80" i="1"/>
  <c r="AP80" i="1"/>
  <c r="BH80" i="1"/>
  <c r="W81" i="1"/>
  <c r="AO81" i="1"/>
  <c r="AP81" i="1"/>
  <c r="BH81" i="1"/>
  <c r="W82" i="1"/>
  <c r="BH82" i="1"/>
  <c r="W83" i="1"/>
  <c r="BH83" i="1"/>
  <c r="W84" i="1"/>
  <c r="BH84" i="1"/>
  <c r="W85" i="1"/>
  <c r="BH85" i="1"/>
  <c r="W86" i="1"/>
  <c r="AO86" i="1"/>
  <c r="BH86" i="1"/>
  <c r="W87" i="1"/>
  <c r="BH87" i="1"/>
  <c r="W88" i="1"/>
  <c r="BH88" i="1"/>
  <c r="W89" i="1"/>
  <c r="BH89" i="1"/>
  <c r="W90" i="1"/>
  <c r="BH90" i="1"/>
  <c r="W91" i="1"/>
  <c r="BH91" i="1"/>
  <c r="W92" i="1"/>
  <c r="BH92" i="1"/>
  <c r="W93" i="1"/>
  <c r="BH93" i="1"/>
  <c r="W94" i="1"/>
  <c r="BH94" i="1"/>
  <c r="W95" i="1"/>
  <c r="BH95" i="1"/>
  <c r="W96" i="1"/>
  <c r="BH96" i="1"/>
  <c r="W97" i="1"/>
  <c r="BH97" i="1"/>
  <c r="W98" i="1"/>
  <c r="BH98" i="1"/>
  <c r="W99" i="1"/>
  <c r="BH99" i="1"/>
  <c r="W100" i="1"/>
  <c r="BH100" i="1"/>
  <c r="W101" i="1"/>
  <c r="BH101" i="1"/>
  <c r="W102" i="1"/>
  <c r="BH102" i="1"/>
  <c r="W103" i="1"/>
  <c r="BH103" i="1"/>
  <c r="W104" i="1"/>
  <c r="BH104" i="1"/>
  <c r="W105" i="1"/>
  <c r="AO105" i="1"/>
  <c r="BH105" i="1"/>
  <c r="W106" i="1"/>
  <c r="BH106" i="1"/>
  <c r="W107" i="1"/>
  <c r="BH107" i="1"/>
  <c r="W108" i="1"/>
  <c r="BH108" i="1"/>
  <c r="W109" i="1"/>
  <c r="BH109" i="1"/>
  <c r="W110" i="1"/>
  <c r="BH110" i="1"/>
  <c r="W111" i="1"/>
  <c r="BH111" i="1"/>
  <c r="W112" i="1"/>
  <c r="BH112" i="1"/>
  <c r="W113" i="1"/>
  <c r="BH113" i="1"/>
  <c r="W114" i="1"/>
  <c r="BH114" i="1"/>
  <c r="W115" i="1"/>
  <c r="BH115" i="1"/>
  <c r="W116" i="1"/>
  <c r="BH116" i="1"/>
  <c r="W117" i="1"/>
  <c r="BH117" i="1"/>
  <c r="W118" i="1"/>
  <c r="BH118" i="1"/>
  <c r="W119" i="1"/>
  <c r="BH119" i="1"/>
  <c r="W120" i="1"/>
  <c r="BH120" i="1"/>
  <c r="W121" i="1"/>
  <c r="BH121" i="1"/>
  <c r="W122" i="1"/>
  <c r="BH122" i="1"/>
  <c r="W123" i="1"/>
  <c r="BH123" i="1"/>
  <c r="W124" i="1"/>
  <c r="BH124" i="1"/>
  <c r="W125" i="1"/>
  <c r="BH125" i="1"/>
  <c r="W126" i="1"/>
  <c r="BH126" i="1"/>
  <c r="W127" i="1"/>
  <c r="BH127" i="1"/>
  <c r="W128" i="1"/>
  <c r="BH128" i="1"/>
  <c r="W129" i="1"/>
  <c r="BH129" i="1"/>
  <c r="W130" i="1"/>
  <c r="BH130" i="1"/>
  <c r="W131" i="1"/>
  <c r="BH131" i="1"/>
  <c r="W132" i="1"/>
  <c r="BH132" i="1"/>
  <c r="W133" i="1"/>
  <c r="AO133" i="1"/>
  <c r="BH133" i="1"/>
  <c r="W134" i="1"/>
  <c r="BH134" i="1"/>
  <c r="W135" i="1"/>
  <c r="BH135" i="1"/>
  <c r="W136" i="1"/>
  <c r="BH136" i="1"/>
  <c r="W137" i="1"/>
  <c r="BH137" i="1"/>
  <c r="W138" i="1"/>
  <c r="BH138" i="1"/>
  <c r="W139" i="1"/>
  <c r="BH139" i="1"/>
  <c r="W140" i="1"/>
  <c r="BH140" i="1"/>
  <c r="W141" i="1"/>
  <c r="BH141" i="1"/>
  <c r="W142" i="1"/>
  <c r="BH142" i="1"/>
  <c r="W143" i="1"/>
  <c r="BH143" i="1"/>
  <c r="W144" i="1"/>
  <c r="BH144" i="1"/>
  <c r="W145" i="1"/>
  <c r="BH145" i="1"/>
  <c r="W146" i="1"/>
  <c r="BH146" i="1"/>
  <c r="W147" i="1"/>
  <c r="BH147" i="1"/>
  <c r="W148" i="1"/>
  <c r="BH148" i="1"/>
  <c r="W149" i="1"/>
  <c r="BH149" i="1"/>
  <c r="W150" i="1"/>
  <c r="BH150" i="1"/>
  <c r="W151" i="1"/>
  <c r="BH151" i="1"/>
  <c r="W152" i="1"/>
  <c r="BH152" i="1"/>
  <c r="W153" i="1"/>
  <c r="BH153" i="1"/>
  <c r="W154" i="1"/>
  <c r="BH154" i="1"/>
  <c r="W155" i="1"/>
  <c r="BH155" i="1"/>
  <c r="W156" i="1"/>
  <c r="BH156" i="1"/>
  <c r="W157" i="1"/>
  <c r="BH157" i="1"/>
  <c r="W158" i="1"/>
  <c r="BH158" i="1"/>
  <c r="W159" i="1"/>
  <c r="BH159" i="1"/>
  <c r="W160" i="1"/>
  <c r="BH160" i="1"/>
  <c r="W161" i="1"/>
  <c r="AO161" i="1"/>
  <c r="BH161" i="1"/>
  <c r="W162" i="1"/>
  <c r="BH162" i="1"/>
  <c r="W163" i="1"/>
  <c r="BH163" i="1"/>
  <c r="W164" i="1"/>
  <c r="BH164" i="1"/>
  <c r="W165" i="1"/>
  <c r="BH165" i="1"/>
  <c r="W166" i="1"/>
  <c r="BH166" i="1"/>
  <c r="W167" i="1"/>
  <c r="BH167" i="1"/>
  <c r="W168" i="1"/>
  <c r="BH168" i="1"/>
  <c r="W169" i="1"/>
  <c r="BH169" i="1"/>
  <c r="W170" i="1"/>
  <c r="BH170" i="1"/>
  <c r="W171" i="1"/>
  <c r="BH171" i="1"/>
  <c r="W172" i="1"/>
  <c r="BH172" i="1"/>
  <c r="W173" i="1"/>
  <c r="BH173" i="1"/>
  <c r="W174" i="1"/>
  <c r="BH174" i="1"/>
  <c r="W175" i="1"/>
  <c r="BH175" i="1"/>
  <c r="W176" i="1"/>
  <c r="BH176" i="1"/>
  <c r="W177" i="1"/>
  <c r="BH177" i="1"/>
  <c r="W178" i="1"/>
  <c r="BH178" i="1"/>
  <c r="W179" i="1"/>
  <c r="BH179" i="1"/>
  <c r="W180" i="1"/>
  <c r="BH180" i="1"/>
  <c r="W181" i="1"/>
  <c r="BH181" i="1"/>
  <c r="W182" i="1"/>
  <c r="BH182" i="1"/>
  <c r="K183" i="1"/>
  <c r="W183" i="1"/>
  <c r="BH183" i="1"/>
  <c r="K184" i="1"/>
  <c r="W184" i="1"/>
  <c r="AP184" i="1"/>
  <c r="BH184" i="1"/>
  <c r="K185" i="1"/>
  <c r="W185" i="1"/>
  <c r="BH185" i="1"/>
  <c r="K186" i="1"/>
  <c r="W186" i="1"/>
  <c r="BH186" i="1"/>
  <c r="K187" i="1"/>
  <c r="W187" i="1"/>
  <c r="AO187" i="1"/>
  <c r="BH187" i="1"/>
  <c r="K188" i="1"/>
  <c r="W188" i="1"/>
  <c r="BH188" i="1"/>
  <c r="K189" i="1"/>
  <c r="W189" i="1"/>
  <c r="AO189" i="1"/>
  <c r="BH189" i="1"/>
  <c r="K190" i="1"/>
  <c r="W190" i="1"/>
  <c r="BH190" i="1"/>
  <c r="K191" i="1"/>
  <c r="W191" i="1"/>
  <c r="BH191" i="1"/>
  <c r="K192" i="1"/>
  <c r="W192" i="1"/>
  <c r="BH192" i="1"/>
  <c r="K193" i="1"/>
  <c r="W193" i="1"/>
  <c r="AO193" i="1"/>
  <c r="AP193" i="1"/>
  <c r="BH193" i="1"/>
  <c r="K194" i="1"/>
  <c r="W194" i="1"/>
  <c r="AO194" i="1"/>
  <c r="AP194" i="1"/>
  <c r="BH194" i="1"/>
  <c r="K195" i="1"/>
  <c r="W195" i="1"/>
  <c r="BH195" i="1"/>
  <c r="K196" i="1"/>
  <c r="W196" i="1"/>
  <c r="AO196" i="1"/>
  <c r="AP196" i="1"/>
  <c r="BH196" i="1"/>
  <c r="K197" i="1"/>
  <c r="W197" i="1"/>
  <c r="BH197" i="1"/>
  <c r="W198" i="1"/>
  <c r="BH198" i="1"/>
  <c r="W199" i="1"/>
  <c r="AP199" i="1"/>
  <c r="BH199" i="1"/>
  <c r="W200" i="1"/>
  <c r="BH200" i="1"/>
  <c r="W201" i="1"/>
  <c r="BH201" i="1"/>
  <c r="W202" i="1"/>
  <c r="AP202" i="1"/>
  <c r="BH202" i="1"/>
  <c r="W203" i="1"/>
  <c r="BH203" i="1"/>
  <c r="W204" i="1"/>
  <c r="BH204" i="1"/>
  <c r="W205" i="1"/>
  <c r="BH205" i="1"/>
  <c r="W206" i="1"/>
  <c r="BH206" i="1"/>
  <c r="W207" i="1"/>
  <c r="BH207" i="1"/>
  <c r="W208" i="1"/>
  <c r="BH208" i="1"/>
  <c r="K209" i="1"/>
  <c r="W209" i="1"/>
  <c r="BH209" i="1"/>
  <c r="K210" i="1"/>
  <c r="W210" i="1"/>
  <c r="AO210" i="1"/>
  <c r="AP210" i="1"/>
  <c r="BH210" i="1"/>
  <c r="K211" i="1"/>
  <c r="W211" i="1"/>
  <c r="BH211" i="1"/>
  <c r="K212" i="1"/>
  <c r="W212" i="1"/>
  <c r="BH212" i="1"/>
  <c r="K213" i="1"/>
  <c r="W213" i="1"/>
  <c r="AO213" i="1"/>
  <c r="BH213" i="1"/>
  <c r="K214" i="1"/>
  <c r="W214" i="1"/>
  <c r="BH214" i="1"/>
  <c r="K215" i="1"/>
  <c r="W215" i="1"/>
  <c r="BH215" i="1"/>
  <c r="K216" i="1"/>
  <c r="W216" i="1"/>
  <c r="BH216" i="1"/>
  <c r="K217" i="1"/>
  <c r="W217" i="1"/>
  <c r="BH217" i="1"/>
  <c r="K218" i="1"/>
  <c r="W218" i="1"/>
  <c r="BH218" i="1"/>
  <c r="K219" i="1"/>
  <c r="W219" i="1"/>
  <c r="AO219" i="1"/>
  <c r="BH219" i="1"/>
  <c r="K220" i="1"/>
  <c r="W220" i="1"/>
  <c r="AO220" i="1"/>
  <c r="AP220" i="1"/>
  <c r="BH220" i="1"/>
  <c r="K221" i="1"/>
  <c r="W221" i="1"/>
  <c r="BH221" i="1"/>
  <c r="K222" i="1"/>
  <c r="W222" i="1"/>
  <c r="BH222" i="1"/>
  <c r="K223" i="1"/>
  <c r="W223" i="1"/>
  <c r="BH223" i="1"/>
  <c r="K224" i="1"/>
  <c r="W224" i="1"/>
  <c r="AO224" i="1"/>
  <c r="BH224" i="1"/>
  <c r="K225" i="1"/>
  <c r="W225" i="1"/>
  <c r="BH225" i="1"/>
  <c r="K226" i="1"/>
  <c r="W226" i="1"/>
  <c r="AO226" i="1"/>
  <c r="BH226" i="1"/>
  <c r="W227" i="1"/>
  <c r="BH227" i="1"/>
  <c r="K228" i="1"/>
  <c r="W228" i="1"/>
  <c r="BH228" i="1"/>
  <c r="K229" i="1"/>
  <c r="W229" i="1"/>
  <c r="BH229" i="1"/>
  <c r="K230" i="1"/>
  <c r="W230" i="1"/>
  <c r="AO230" i="1"/>
  <c r="AP230" i="1"/>
  <c r="BH230" i="1"/>
  <c r="K231" i="1"/>
  <c r="W231" i="1"/>
  <c r="AO231" i="1"/>
  <c r="BH231" i="1"/>
  <c r="K232" i="1"/>
  <c r="W232" i="1"/>
  <c r="AO232" i="1"/>
  <c r="BH232" i="1"/>
  <c r="K233" i="1"/>
  <c r="W233" i="1"/>
  <c r="AO233" i="1"/>
  <c r="AP233" i="1"/>
  <c r="BH233" i="1"/>
  <c r="K234" i="1"/>
  <c r="W234" i="1"/>
  <c r="BH234" i="1"/>
  <c r="K235" i="1"/>
  <c r="W235" i="1"/>
  <c r="BH235" i="1"/>
  <c r="K236" i="1"/>
  <c r="W236" i="1"/>
  <c r="BH236" i="1"/>
  <c r="K237" i="1"/>
  <c r="W237" i="1"/>
  <c r="AO237" i="1"/>
  <c r="AP237" i="1"/>
  <c r="BH237" i="1"/>
  <c r="K238" i="1"/>
  <c r="W238" i="1"/>
  <c r="AO238" i="1"/>
  <c r="BH238" i="1"/>
  <c r="K239" i="1"/>
  <c r="W239" i="1"/>
  <c r="AO239" i="1"/>
  <c r="BH239" i="1"/>
  <c r="K240" i="1"/>
  <c r="W240" i="1"/>
  <c r="AO240" i="1"/>
  <c r="AP240" i="1"/>
  <c r="BH240" i="1"/>
  <c r="K241" i="1"/>
  <c r="W241" i="1"/>
  <c r="BH241" i="1"/>
  <c r="W242" i="1"/>
  <c r="BH242" i="1"/>
  <c r="W243" i="1"/>
  <c r="BH243" i="1"/>
  <c r="W244" i="1"/>
  <c r="BH244" i="1"/>
  <c r="W245" i="1"/>
  <c r="BH245" i="1"/>
  <c r="W246" i="1"/>
  <c r="BH246" i="1"/>
  <c r="W247" i="1"/>
  <c r="AP247" i="1"/>
  <c r="BH247" i="1"/>
  <c r="W248" i="1"/>
  <c r="AO248" i="1"/>
  <c r="BH248" i="1"/>
  <c r="W249" i="1"/>
  <c r="BH249" i="1"/>
  <c r="W250" i="1"/>
  <c r="BH250" i="1"/>
  <c r="W251" i="1"/>
  <c r="AO251" i="1"/>
  <c r="BH251" i="1"/>
  <c r="W252" i="1"/>
  <c r="BH252" i="1"/>
  <c r="W253" i="1"/>
  <c r="AO253" i="1"/>
  <c r="BH253" i="1"/>
  <c r="W254" i="1"/>
  <c r="BH254" i="1"/>
  <c r="W255" i="1"/>
  <c r="AO255" i="1"/>
  <c r="AP255" i="1"/>
  <c r="BH255" i="1"/>
  <c r="W256" i="1"/>
  <c r="BH256" i="1"/>
  <c r="W257" i="1"/>
  <c r="BH257" i="1"/>
  <c r="W258" i="1"/>
  <c r="BH258" i="1"/>
  <c r="W259" i="1"/>
  <c r="BH259" i="1"/>
  <c r="W260" i="1"/>
  <c r="AP260" i="1"/>
  <c r="BH260" i="1"/>
  <c r="W261" i="1"/>
  <c r="AO261" i="1"/>
  <c r="BH261" i="1"/>
  <c r="W262" i="1"/>
  <c r="BH262" i="1"/>
  <c r="W263" i="1"/>
  <c r="BH263" i="1"/>
  <c r="W264" i="1"/>
  <c r="AO264" i="1"/>
  <c r="BH264" i="1"/>
  <c r="W265" i="1"/>
  <c r="BH265" i="1"/>
  <c r="W266" i="1"/>
  <c r="AO266" i="1"/>
  <c r="BH266" i="1"/>
  <c r="W267" i="1"/>
  <c r="BH267" i="1"/>
  <c r="W268" i="1"/>
  <c r="AO268" i="1"/>
  <c r="AP268" i="1"/>
  <c r="BH268" i="1"/>
  <c r="W269" i="1"/>
  <c r="BH269" i="1"/>
  <c r="W270" i="1"/>
  <c r="BH270" i="1"/>
  <c r="W271" i="1"/>
  <c r="BH271" i="1"/>
  <c r="W272" i="1"/>
  <c r="BH272" i="1"/>
  <c r="W273" i="1"/>
  <c r="BH273" i="1"/>
  <c r="W274" i="1"/>
  <c r="BH274" i="1"/>
  <c r="W275" i="1"/>
  <c r="BH275" i="1"/>
  <c r="W276" i="1"/>
  <c r="BH276" i="1"/>
  <c r="W277" i="1"/>
  <c r="BH277" i="1"/>
  <c r="W278" i="1"/>
  <c r="BH278" i="1"/>
  <c r="W279" i="1"/>
  <c r="BH279" i="1"/>
  <c r="W280" i="1"/>
  <c r="BH280" i="1"/>
  <c r="W281" i="1"/>
  <c r="BH281" i="1"/>
  <c r="W282" i="1"/>
  <c r="BH282" i="1"/>
  <c r="W283" i="1"/>
  <c r="BH283" i="1"/>
  <c r="W284" i="1"/>
  <c r="BH284" i="1"/>
  <c r="W285" i="1"/>
  <c r="BH285" i="1"/>
  <c r="W286" i="1"/>
  <c r="BH286" i="1"/>
  <c r="W287" i="1"/>
  <c r="BH287" i="1"/>
  <c r="W288" i="1"/>
  <c r="BH288" i="1"/>
  <c r="W289" i="1"/>
  <c r="BH289" i="1"/>
  <c r="W290" i="1"/>
  <c r="BH290" i="1"/>
  <c r="W291" i="1"/>
  <c r="BH291" i="1"/>
  <c r="W292" i="1"/>
  <c r="BH292" i="1"/>
  <c r="W293" i="1"/>
  <c r="BH293" i="1"/>
  <c r="W294" i="1"/>
  <c r="BH294" i="1"/>
  <c r="W295" i="1"/>
  <c r="BH295" i="1"/>
  <c r="W296" i="1"/>
  <c r="BH296" i="1"/>
  <c r="W297" i="1"/>
  <c r="BH297" i="1"/>
  <c r="W298" i="1"/>
  <c r="BH298" i="1"/>
  <c r="W299" i="1"/>
  <c r="BH299" i="1"/>
  <c r="W300" i="1"/>
  <c r="BH300" i="1"/>
  <c r="W301" i="1"/>
  <c r="BH301" i="1"/>
  <c r="W302" i="1"/>
  <c r="BH302" i="1"/>
  <c r="W303" i="1"/>
  <c r="BH303" i="1"/>
  <c r="W304" i="1"/>
  <c r="BH304" i="1"/>
  <c r="W305" i="1"/>
  <c r="BH305" i="1"/>
  <c r="W306" i="1"/>
  <c r="BH306" i="1"/>
  <c r="W307" i="1"/>
  <c r="BH307" i="1"/>
  <c r="W308" i="1"/>
  <c r="BH308" i="1"/>
  <c r="W309" i="1"/>
  <c r="BH309" i="1"/>
  <c r="W310" i="1"/>
  <c r="BH310" i="1"/>
  <c r="W311" i="1"/>
  <c r="BH311" i="1"/>
  <c r="W312" i="1"/>
  <c r="BH312" i="1"/>
  <c r="W313" i="1"/>
  <c r="BH313" i="1"/>
  <c r="W314" i="1"/>
  <c r="BH314" i="1"/>
  <c r="W315" i="1"/>
  <c r="BH315" i="1"/>
  <c r="W316" i="1"/>
  <c r="BH316" i="1"/>
  <c r="W317" i="1"/>
  <c r="BH317" i="1"/>
  <c r="W318" i="1"/>
  <c r="BH318" i="1"/>
  <c r="W319" i="1"/>
  <c r="BH319" i="1"/>
  <c r="W320" i="1"/>
  <c r="BH320" i="1"/>
  <c r="W321" i="1"/>
  <c r="BH321" i="1"/>
  <c r="W322" i="1"/>
  <c r="BH322" i="1"/>
  <c r="W323" i="1"/>
  <c r="BH323" i="1"/>
  <c r="W324" i="1"/>
  <c r="BH324" i="1"/>
  <c r="W325" i="1"/>
  <c r="BH325" i="1"/>
  <c r="W326" i="1"/>
  <c r="BH326" i="1"/>
  <c r="W327" i="1"/>
  <c r="BH327" i="1"/>
  <c r="W328" i="1"/>
  <c r="BH328" i="1"/>
  <c r="W329" i="1"/>
  <c r="BH329" i="1"/>
  <c r="W330" i="1"/>
  <c r="BH330" i="1"/>
  <c r="W331" i="1"/>
  <c r="BH331" i="1"/>
  <c r="W332" i="1"/>
  <c r="BH332" i="1"/>
  <c r="W333" i="1"/>
  <c r="BH333" i="1"/>
  <c r="W334" i="1"/>
  <c r="BH334" i="1"/>
  <c r="W335" i="1"/>
  <c r="BH335" i="1"/>
  <c r="W336" i="1"/>
  <c r="BH336" i="1"/>
</calcChain>
</file>

<file path=xl/sharedStrings.xml><?xml version="1.0" encoding="utf-8"?>
<sst xmlns="http://schemas.openxmlformats.org/spreadsheetml/2006/main" count="10250" uniqueCount="409">
  <si>
    <t>Customer Account Name</t>
  </si>
  <si>
    <t>Industry</t>
  </si>
  <si>
    <t>Sector</t>
  </si>
  <si>
    <t>Company</t>
  </si>
  <si>
    <t>Company ID</t>
  </si>
  <si>
    <t>Ticker</t>
  </si>
  <si>
    <t>Meeting ID</t>
  </si>
  <si>
    <t>Agenda ID</t>
  </si>
  <si>
    <t>Ballot ID</t>
  </si>
  <si>
    <t>Job Number</t>
  </si>
  <si>
    <t>CUSIP</t>
  </si>
  <si>
    <t>CINS</t>
  </si>
  <si>
    <t>ISIN</t>
  </si>
  <si>
    <t>Region</t>
  </si>
  <si>
    <t>Country of Origin</t>
  </si>
  <si>
    <t>Country of Trade</t>
  </si>
  <si>
    <t>Meeting Type</t>
  </si>
  <si>
    <t>Meeting Date</t>
  </si>
  <si>
    <t>Record Date</t>
  </si>
  <si>
    <t>Deadline Date</t>
  </si>
  <si>
    <t>Proposal Order By</t>
  </si>
  <si>
    <t>Sequential Proposal Number</t>
  </si>
  <si>
    <t>Proposal Label</t>
  </si>
  <si>
    <t>Proposal Text</t>
  </si>
  <si>
    <t>Director ID</t>
  </si>
  <si>
    <t>People ID</t>
  </si>
  <si>
    <t>Proponent</t>
  </si>
  <si>
    <t>Mgmt</t>
  </si>
  <si>
    <t>Decision Status</t>
  </si>
  <si>
    <t>GL Reco</t>
  </si>
  <si>
    <t>Custom Policy</t>
  </si>
  <si>
    <t>Vote Decision</t>
  </si>
  <si>
    <t>Split - For</t>
  </si>
  <si>
    <t>Split - Against</t>
  </si>
  <si>
    <t>Split - Abstain</t>
  </si>
  <si>
    <t>Split - Withhold</t>
  </si>
  <si>
    <t>Split - 1 Year</t>
  </si>
  <si>
    <t>Split - 2 Years</t>
  </si>
  <si>
    <t>Split - 3 Years</t>
  </si>
  <si>
    <t>For Or Against Mgmt</t>
  </si>
  <si>
    <t>Rationale</t>
  </si>
  <si>
    <t>Policy Rationale</t>
  </si>
  <si>
    <t>Ballot Voted Date</t>
  </si>
  <si>
    <t>Policy Rec Change Date</t>
  </si>
  <si>
    <t>Issue Code</t>
  </si>
  <si>
    <t>Issue Code Category</t>
  </si>
  <si>
    <t>Issue Code Description</t>
  </si>
  <si>
    <t>Shares Listed</t>
  </si>
  <si>
    <t>Voted Shares</t>
  </si>
  <si>
    <t>Shares Held</t>
  </si>
  <si>
    <t>Shares on Loan</t>
  </si>
  <si>
    <t>Ownership Date</t>
  </si>
  <si>
    <t>Assignee</t>
  </si>
  <si>
    <t>Proxy ID</t>
  </si>
  <si>
    <t>RFS</t>
  </si>
  <si>
    <t>Target Publication Date</t>
  </si>
  <si>
    <t>Research Publish Date</t>
  </si>
  <si>
    <t>Republish Date</t>
  </si>
  <si>
    <t>Proxy Contest</t>
  </si>
  <si>
    <t>Agenda Key</t>
  </si>
  <si>
    <t>General Approach</t>
  </si>
  <si>
    <t>With or Against Policy</t>
  </si>
  <si>
    <t>With or Against GlassLewis</t>
  </si>
  <si>
    <t>Votes For</t>
  </si>
  <si>
    <t>Votes Against</t>
  </si>
  <si>
    <t>Votes Abstain</t>
  </si>
  <si>
    <t>Votes Withheld</t>
  </si>
  <si>
    <t>Votes 1 Year</t>
  </si>
  <si>
    <t>Votes 2 Years</t>
  </si>
  <si>
    <t>Votes 3 Years</t>
  </si>
  <si>
    <t>Total Votes</t>
  </si>
  <si>
    <t>Votes For Percentage</t>
  </si>
  <si>
    <t>Votes Against Percentage</t>
  </si>
  <si>
    <t>Votes Abstain Percentage</t>
  </si>
  <si>
    <t>Votes Withheld Percentage</t>
  </si>
  <si>
    <t>Votes 1 Year Percentage</t>
  </si>
  <si>
    <t>Votes 2 Years Percentage</t>
  </si>
  <si>
    <t>Votes 3 Years Percentage</t>
  </si>
  <si>
    <t>Fund ID</t>
  </si>
  <si>
    <t>Fund Name</t>
  </si>
  <si>
    <t>DRAF/ UK-DEP-FRP-FP FORESIGHT DIV RA FD – GB</t>
  </si>
  <si>
    <t>Capital Markets</t>
  </si>
  <si>
    <t>Financials</t>
  </si>
  <si>
    <t>Starwood European Real Estate Finance Limited</t>
  </si>
  <si>
    <t>SWEF</t>
  </si>
  <si>
    <t>G84369100</t>
  </si>
  <si>
    <t>GG00BW9KGG29</t>
  </si>
  <si>
    <t>Europe</t>
  </si>
  <si>
    <t>GG</t>
  </si>
  <si>
    <t>GB</t>
  </si>
  <si>
    <t>Special</t>
  </si>
  <si>
    <t>12/31/2025</t>
  </si>
  <si>
    <t>12/22/2025</t>
  </si>
  <si>
    <t>Adoption of New Articles</t>
  </si>
  <si>
    <t>Management</t>
  </si>
  <si>
    <t>For</t>
  </si>
  <si>
    <t>Approved</t>
  </si>
  <si>
    <t>12/24/2025</t>
  </si>
  <si>
    <t>Changes to Company Statutes</t>
  </si>
  <si>
    <t>No</t>
  </si>
  <si>
    <t>NO</t>
  </si>
  <si>
    <t>GLASSLEWIS</t>
  </si>
  <si>
    <t>With</t>
  </si>
  <si>
    <t>Foresight Sustainable Future Themes Fund</t>
  </si>
  <si>
    <t>Metals and Mining</t>
  </si>
  <si>
    <t>Materials</t>
  </si>
  <si>
    <t>Commercial Metals Co.</t>
  </si>
  <si>
    <t>CMC</t>
  </si>
  <si>
    <t>P39653</t>
  </si>
  <si>
    <t>US2017231034</t>
  </si>
  <si>
    <t>Canada &amp; United States</t>
  </si>
  <si>
    <t>US</t>
  </si>
  <si>
    <t>Annual</t>
  </si>
  <si>
    <t>1/14/2026</t>
  </si>
  <si>
    <t>11/17/2025</t>
  </si>
  <si>
    <t>1/13/2026</t>
  </si>
  <si>
    <t>Elect Dawne S. Hickton</t>
  </si>
  <si>
    <t>Board Related</t>
  </si>
  <si>
    <t>Election of Directors</t>
  </si>
  <si>
    <t>12/15/2025</t>
  </si>
  <si>
    <t>12/23/2025</t>
  </si>
  <si>
    <t>Elect Peter R. Matt</t>
  </si>
  <si>
    <t>Elect Robert S. Wetherbee</t>
  </si>
  <si>
    <t>Against</t>
  </si>
  <si>
    <t>1. Directors serving continuously as such for more than two years without having been re-elected at a general meeting. 2. Lack of Sustainability-linked remuneration.  3. The company has not set a net zero carbon target to be achieved by 2050 at the latest.</t>
  </si>
  <si>
    <t>Ratification of Auditor</t>
  </si>
  <si>
    <t>Audit/Financials</t>
  </si>
  <si>
    <t>Advisory Vote on Executive Compensation</t>
  </si>
  <si>
    <t>Compensation</t>
  </si>
  <si>
    <t>Specialized REITs</t>
  </si>
  <si>
    <t>Real Estate</t>
  </si>
  <si>
    <t>Potlatch Corp.</t>
  </si>
  <si>
    <t>PCH</t>
  </si>
  <si>
    <t>S27195</t>
  </si>
  <si>
    <t>US7376281074</t>
  </si>
  <si>
    <t>1/27/2026</t>
  </si>
  <si>
    <t>12/26/2025</t>
  </si>
  <si>
    <t>1/26/2026</t>
  </si>
  <si>
    <t>Merger/Acquisition</t>
  </si>
  <si>
    <t>1/23/2026</t>
  </si>
  <si>
    <t>M&amp;A</t>
  </si>
  <si>
    <t>1/15/2026</t>
  </si>
  <si>
    <t>Advisory Vote on Golden Parachutes</t>
  </si>
  <si>
    <t>Advisory Vote on Severance</t>
  </si>
  <si>
    <t>Right to Adjourn Meeting</t>
  </si>
  <si>
    <t>Meeting Administration</t>
  </si>
  <si>
    <t>Foresight Sustainable Real Estate Securities Fund</t>
  </si>
  <si>
    <t>Rayonier Inc.</t>
  </si>
  <si>
    <t>RYN</t>
  </si>
  <si>
    <t>S27201</t>
  </si>
  <si>
    <t>US7549071030</t>
  </si>
  <si>
    <t>Merger with PotlatchDeltic Corporation</t>
  </si>
  <si>
    <t>LYXOR SEB Impact Fund</t>
  </si>
  <si>
    <t>Health Care Equipment and Supplies</t>
  </si>
  <si>
    <t>Health Care</t>
  </si>
  <si>
    <t>Siemens Healthineers AG</t>
  </si>
  <si>
    <t>SHL</t>
  </si>
  <si>
    <t>D6T479107</t>
  </si>
  <si>
    <t>DE000SHL1006</t>
  </si>
  <si>
    <t>DE</t>
  </si>
  <si>
    <t>1/29/2026</t>
  </si>
  <si>
    <t>Allocation of Dividends</t>
  </si>
  <si>
    <t>Allocation of Profits/Dividends</t>
  </si>
  <si>
    <t>Ratify Bernhard Montag</t>
  </si>
  <si>
    <t>Ratification of Management Acts - Legal</t>
  </si>
  <si>
    <t>Ratify Jochen Schmitz</t>
  </si>
  <si>
    <t>Ratify Darleen Caron</t>
  </si>
  <si>
    <t>Ratify Elisabeth Staudinger-Leibrecht</t>
  </si>
  <si>
    <t>Ratify Ralf P. Thomas</t>
  </si>
  <si>
    <t>Ratification of Board Acts - Legal</t>
  </si>
  <si>
    <t xml:space="preserve">Ratify Dorothea Simon </t>
  </si>
  <si>
    <t>Ratify Karl-Heinz Streibich</t>
  </si>
  <si>
    <t>Ratify Vanessa Barth</t>
  </si>
  <si>
    <t xml:space="preserve">Ratify Veronika Bienert </t>
  </si>
  <si>
    <t>Ratify Harry Blunk</t>
  </si>
  <si>
    <t>Ratify Roland Busch</t>
  </si>
  <si>
    <t>Ratify Stephan Büttner</t>
  </si>
  <si>
    <t xml:space="preserve">Ratify Lars-Christian Dinglinger </t>
  </si>
  <si>
    <t xml:space="preserve">Ratify Andrea Fehrmann </t>
  </si>
  <si>
    <t xml:space="preserve">Ratify Nick Heindl </t>
  </si>
  <si>
    <t>Ratify Marion Helmes</t>
  </si>
  <si>
    <t xml:space="preserve">Ratify Peter Körte </t>
  </si>
  <si>
    <t>Ratify Volker Lang</t>
  </si>
  <si>
    <t>Ratify Sarena Lin</t>
  </si>
  <si>
    <t>Ratify Axel Patze</t>
  </si>
  <si>
    <t>Ratify Astrid Kristine Ploß</t>
  </si>
  <si>
    <t>Ratify Peer M. Schatz</t>
  </si>
  <si>
    <t>Ratify Nathalie von Siemens</t>
  </si>
  <si>
    <t xml:space="preserve">Ratify Harald Tretter </t>
  </si>
  <si>
    <t>Ratify Dow R. Wilson</t>
  </si>
  <si>
    <t>Appointment of Auditor</t>
  </si>
  <si>
    <t>Appointment of Auditor for Sustainability Reporting</t>
  </si>
  <si>
    <t>Appointment of Special Auditor</t>
  </si>
  <si>
    <t>Remuneration Report</t>
  </si>
  <si>
    <t>Remuneration Report (Retrospective)</t>
  </si>
  <si>
    <t>Amendments to Articles (Majority Requirement for AGM Resolutions)</t>
  </si>
  <si>
    <t>Amendments to Articles, Constitution, Bylaws</t>
  </si>
  <si>
    <t>Increase in Authorized Capital</t>
  </si>
  <si>
    <t>Capital Management</t>
  </si>
  <si>
    <t>Authority to Issue Convertible Debt Instruments; Increase in Conditional Capital</t>
  </si>
  <si>
    <t>Authority to Issue Shares and Convertible Debt w or w/o Preemptive Rights</t>
  </si>
  <si>
    <t>Authority to Repurchase and Reissue Shares</t>
  </si>
  <si>
    <t>Authority to Repurchase and Re-Issue Shares</t>
  </si>
  <si>
    <t>Authority to Repurchase Shares Using Equity Derivatives</t>
  </si>
  <si>
    <t>Authority to Repurchase Shares</t>
  </si>
  <si>
    <t>WHEB Sustainable Impact Fund</t>
  </si>
  <si>
    <t>GCP Infrastructure Investments Limited</t>
  </si>
  <si>
    <t>GCP</t>
  </si>
  <si>
    <t>G3901C100</t>
  </si>
  <si>
    <t>JE00B6173J15</t>
  </si>
  <si>
    <t>JE</t>
  </si>
  <si>
    <t>Accounts and Reports</t>
  </si>
  <si>
    <t>Financial Statements</t>
  </si>
  <si>
    <t>1/21/2026</t>
  </si>
  <si>
    <t>Directors' Fees</t>
  </si>
  <si>
    <t>Elect Dawn Crichard</t>
  </si>
  <si>
    <t>Elect Steven Wilderspin</t>
  </si>
  <si>
    <t>Elect Andrew Didham</t>
  </si>
  <si>
    <t>Elect Alex Yew</t>
  </si>
  <si>
    <t>Elect Ian Brown</t>
  </si>
  <si>
    <t>Elect Heather Bestwick</t>
  </si>
  <si>
    <t>Dividend Policy</t>
  </si>
  <si>
    <t>Authority to Set Auditor's Fees</t>
  </si>
  <si>
    <t>Authority to Hold Treasury Shares</t>
  </si>
  <si>
    <t>Issuance of Repurchased Shares</t>
  </si>
  <si>
    <t>Authority to Issue Shares w/o Preemptive Rights</t>
  </si>
  <si>
    <t>Semiconductors and Semiconductor Equipment</t>
  </si>
  <si>
    <t>Information Technology</t>
  </si>
  <si>
    <t>Infineon Technologies AG</t>
  </si>
  <si>
    <t>IFX</t>
  </si>
  <si>
    <t>D35415104</t>
  </si>
  <si>
    <t>DE0006231004</t>
  </si>
  <si>
    <t>2/19/2026</t>
  </si>
  <si>
    <t>1/20/2026</t>
  </si>
  <si>
    <t xml:space="preserve">Ratify Jochen Hanebeck </t>
  </si>
  <si>
    <t xml:space="preserve">Ratify Elke Reichart </t>
  </si>
  <si>
    <t xml:space="preserve">Ratify Sven Schneider </t>
  </si>
  <si>
    <t xml:space="preserve">Ratify Andreas Urschitz </t>
  </si>
  <si>
    <t xml:space="preserve">Ratify Rutger Wijburg </t>
  </si>
  <si>
    <t>Ratify Herbert Diess</t>
  </si>
  <si>
    <t xml:space="preserve">Ratify Xiaoqun Clever-Steg </t>
  </si>
  <si>
    <t xml:space="preserve">Ratify Johann Dechant </t>
  </si>
  <si>
    <t xml:space="preserve">Ratify Friedrich Eichiner </t>
  </si>
  <si>
    <t>Ratify Annette Engelfried</t>
  </si>
  <si>
    <t xml:space="preserve">Ratify Hermann Eul </t>
  </si>
  <si>
    <t>Ratify Peter Gruber</t>
  </si>
  <si>
    <t xml:space="preserve">Ratify Klaus Helmrich </t>
  </si>
  <si>
    <t xml:space="preserve">Ratify Rico Irmischer </t>
  </si>
  <si>
    <t xml:space="preserve">Ratify Susanne Lachenmann </t>
  </si>
  <si>
    <t>Ratify Melanie Riedl</t>
  </si>
  <si>
    <t xml:space="preserve">Ratify Jürgen Scholz </t>
  </si>
  <si>
    <t>Ratify Ulrich Spiesshofer</t>
  </si>
  <si>
    <t xml:space="preserve">Ratify Margret Suckale </t>
  </si>
  <si>
    <t>Ratify Mirco Synde</t>
  </si>
  <si>
    <t xml:space="preserve">Ratify Diana Vitale </t>
  </si>
  <si>
    <t xml:space="preserve">Ratify Ute Wolf </t>
  </si>
  <si>
    <t>Supervisory Board Remuneration Policy</t>
  </si>
  <si>
    <t>Non-Executive Remuneration Policy (Forward-Looking)</t>
  </si>
  <si>
    <t>Management Board Remuneration Policy</t>
  </si>
  <si>
    <t>Remuneration Policy (Forward-Looking)</t>
  </si>
  <si>
    <t>WHEB Environmental Impact Fund</t>
  </si>
  <si>
    <t>Machinery</t>
  </si>
  <si>
    <t>Industrials</t>
  </si>
  <si>
    <t>Deere &amp; Co.</t>
  </si>
  <si>
    <t>P37838</t>
  </si>
  <si>
    <t>US2441991054</t>
  </si>
  <si>
    <t>2/25/2026</t>
  </si>
  <si>
    <t>12/30/2025</t>
  </si>
  <si>
    <t>2/24/2026</t>
  </si>
  <si>
    <t>Elect Leanne G. Caret</t>
  </si>
  <si>
    <t>Elect Tamra A. Erwin</t>
  </si>
  <si>
    <t xml:space="preserve">Company has a combined chair and CEO  The company has not set a net zero carbon target to be achieved by 2050 at the latest. Board gender diversity &lt;30%  Board level diversity demographic information not fully disclosed: this information was disclosed last year.  </t>
  </si>
  <si>
    <t>Elect R. Preston Feight</t>
  </si>
  <si>
    <t>Elect Alan C. Heuberger</t>
  </si>
  <si>
    <t>Elect L. Neil Hunn</t>
  </si>
  <si>
    <t>Elect John C. May</t>
  </si>
  <si>
    <t>Elect Gregory R. Page</t>
  </si>
  <si>
    <t>Elect Brian Sikes</t>
  </si>
  <si>
    <t>Elect Dmitri L. Stockton</t>
  </si>
  <si>
    <t>Elect Sheila G. Talton</t>
  </si>
  <si>
    <t>Shareholder Proposal Regarding Report on ROI of Emission Reduction Goals</t>
  </si>
  <si>
    <t>Shareholder</t>
  </si>
  <si>
    <t>SHP: Environment</t>
  </si>
  <si>
    <t>SHP Regarding Report/Action on Climate Change</t>
  </si>
  <si>
    <t>Shareholder Proposal Regarding Right to Act by Written Consent</t>
  </si>
  <si>
    <t>SHP: Governance</t>
  </si>
  <si>
    <t>SHP Regarding Right to Act by Written Consent</t>
  </si>
  <si>
    <t>Shareholder Proposal on Report on Faith-based Business Resource Groups</t>
  </si>
  <si>
    <t>SHP: Social</t>
  </si>
  <si>
    <t>SHP Regarding Misc. Human Capital Management</t>
  </si>
  <si>
    <t>2/27/2026</t>
  </si>
  <si>
    <t>2/20/2026</t>
  </si>
  <si>
    <t>Voluntary Winding-up</t>
  </si>
  <si>
    <t>2/16/2026</t>
  </si>
  <si>
    <t>Liquidation</t>
  </si>
  <si>
    <t>Residential REITs</t>
  </si>
  <si>
    <t>Home REIT Plc</t>
  </si>
  <si>
    <t>G4579X103</t>
  </si>
  <si>
    <t>GB00BJP5HK17</t>
  </si>
  <si>
    <t>Elect Roderick	Day</t>
  </si>
  <si>
    <t>Elect Michael O'Donnell</t>
  </si>
  <si>
    <t>Elect Peter W. Williams</t>
  </si>
  <si>
    <t>Repurchase of Shares Pursuant to Tender Offer</t>
  </si>
  <si>
    <t>Repurchase of Shares</t>
  </si>
  <si>
    <t>Authority to Set General Meeting Notice Period at 14 Days</t>
  </si>
  <si>
    <t>Building Products</t>
  </si>
  <si>
    <t>Johnson Controls International plc</t>
  </si>
  <si>
    <t>JCI</t>
  </si>
  <si>
    <t>P40226</t>
  </si>
  <si>
    <t>IE00BY7QL619</t>
  </si>
  <si>
    <t>IE</t>
  </si>
  <si>
    <t>Elect Timothy M. Archer</t>
  </si>
  <si>
    <t>Elect Jean S. Blackwell</t>
  </si>
  <si>
    <t>Elect Pierre E. Cohade</t>
  </si>
  <si>
    <t>Elect W. Roy Dunbar</t>
  </si>
  <si>
    <t>Elect Gretchen R. Haggerty</t>
  </si>
  <si>
    <t>Elect Ayesha Khanna</t>
  </si>
  <si>
    <t>Elect Seetarama S. Kotagiri</t>
  </si>
  <si>
    <t>Elect Carl Jürgen Tinggren</t>
  </si>
  <si>
    <t>Elect Mark P. Vergnano</t>
  </si>
  <si>
    <t>Elect Joakim Weidemanis</t>
  </si>
  <si>
    <t>Elect John D. Young</t>
  </si>
  <si>
    <t>Authorize Price Range at which the Company Can Re-Allot Treasury Shares</t>
  </si>
  <si>
    <t>Authority to Set Offering Price of Shares</t>
  </si>
  <si>
    <t>Authority to Issue Shares w/ Preemptive Rights</t>
  </si>
  <si>
    <t>Foresight UK Infrastructure Income Fund</t>
  </si>
  <si>
    <t>Digital 9 Infrastructure Plc</t>
  </si>
  <si>
    <t>DGI9</t>
  </si>
  <si>
    <t>G2866D103</t>
  </si>
  <si>
    <t>JE00BMDKH437</t>
  </si>
  <si>
    <t>Ordinary</t>
  </si>
  <si>
    <t>Amendments to Articles and Authority to Issue Deferred B Shares</t>
  </si>
  <si>
    <t>2/18/2026</t>
  </si>
  <si>
    <t>2/23/2026</t>
  </si>
  <si>
    <t>Life Sciences Tools and Services</t>
  </si>
  <si>
    <t>Agilent Technologies Inc.</t>
  </si>
  <si>
    <t>A</t>
  </si>
  <si>
    <t>P42951</t>
  </si>
  <si>
    <t>00846U101</t>
  </si>
  <si>
    <t>US00846U1016</t>
  </si>
  <si>
    <t>3/18/2026</t>
  </si>
  <si>
    <t>3/17/2026</t>
  </si>
  <si>
    <t>Elect Judy L. Brown</t>
  </si>
  <si>
    <t>Elect Susan H. Rataj</t>
  </si>
  <si>
    <t>Elect George A. Scangos</t>
  </si>
  <si>
    <t>Elect Dow R. Wilson</t>
  </si>
  <si>
    <t>Repeal of Classified Board</t>
  </si>
  <si>
    <t>VH Global Energy Infrastructure Plc</t>
  </si>
  <si>
    <t>GSEO</t>
  </si>
  <si>
    <t>G9344Z101</t>
  </si>
  <si>
    <t>GB00BNKVP754</t>
  </si>
  <si>
    <t>Other</t>
  </si>
  <si>
    <t>Capitalisation of Reserves and B Share Issuance</t>
  </si>
  <si>
    <t>2/28/2026</t>
  </si>
  <si>
    <t>Bonus Dividend/Bonus Share Issue</t>
  </si>
  <si>
    <t>2/26/2026</t>
  </si>
  <si>
    <t>Cancellation of Share Premium Account</t>
  </si>
  <si>
    <t>Reduction in Share Premium Account</t>
  </si>
  <si>
    <t>Biotechnology</t>
  </si>
  <si>
    <t>Genmab</t>
  </si>
  <si>
    <t>GEN</t>
  </si>
  <si>
    <t>K3967W102</t>
  </si>
  <si>
    <t>DK0010272202</t>
  </si>
  <si>
    <t>DK</t>
  </si>
  <si>
    <t>3/19/2026</t>
  </si>
  <si>
    <t xml:space="preserve">Accounts and Reports; Ratification of Board and Management Acts </t>
  </si>
  <si>
    <t>Accounts and Reports (Bundled Issues)</t>
  </si>
  <si>
    <t>2/17/2026</t>
  </si>
  <si>
    <t>Elect Deirdre P. Connelly</t>
  </si>
  <si>
    <t>Abstain</t>
  </si>
  <si>
    <t>Elect Pernille Erenbjerg</t>
  </si>
  <si>
    <t>Elect Rolf Hoffman</t>
  </si>
  <si>
    <t>Elect Elizabeth G. O'Farrell</t>
  </si>
  <si>
    <t>Elect Paolo Paoletti</t>
  </si>
  <si>
    <t>Elect Anders Gersel Pedersen</t>
  </si>
  <si>
    <t>We do not assess the company's Board to consist of more than majority independent non-executive directors.; We do not assess the company's Nomination Committee to consist of more than majority independent non-executive directors.; We do not assess the company's Compensation Committee to consist of more than majority independent non-executive directors.; The company has not provided comprehensive sustainability disclosure.; This vote against the Chair of the Nomination Committee reflects our concern that fewer than one-third of the Executive Committee are women.</t>
  </si>
  <si>
    <t>Appointment of Auditor; Appointment of Auditor for Sustainability Reporting</t>
  </si>
  <si>
    <t>Cancellation of Shares</t>
  </si>
  <si>
    <t>Cancellation of Authorized Stock</t>
  </si>
  <si>
    <t>Authorization of Legal Formalities</t>
  </si>
  <si>
    <t>Pharmaceuticals</t>
  </si>
  <si>
    <t>Novo Nordisk</t>
  </si>
  <si>
    <t>NOVO B</t>
  </si>
  <si>
    <t>K7314N145</t>
  </si>
  <si>
    <t>DK0062498333</t>
  </si>
  <si>
    <t>3/26/2026</t>
  </si>
  <si>
    <t>3/20/2026</t>
  </si>
  <si>
    <t>Directors' Fees (2025)</t>
  </si>
  <si>
    <t>Directors' Fees (2026)</t>
  </si>
  <si>
    <t>Elect Lars Rebien Sørensen as Chair of the Board</t>
  </si>
  <si>
    <t>Election of Non-Principal Members (Chairman, alternates)</t>
  </si>
  <si>
    <t>Elect Cornelis (Cees) de Jong as Vice Chair of the Board</t>
  </si>
  <si>
    <t>Elect Britt Meelby Jensen</t>
  </si>
  <si>
    <t>Elect Kasim Kutay</t>
  </si>
  <si>
    <t>Elect Stephan Engels</t>
  </si>
  <si>
    <t>Elect Helena Saxon</t>
  </si>
  <si>
    <t>Elect Jan van de Winkel</t>
  </si>
  <si>
    <t>Elect Ramona Sequeira</t>
  </si>
  <si>
    <t>Authority to Issue Shares w/ or w/o Preemptive Rights</t>
  </si>
  <si>
    <t>Authority to Issue Stock w/ or w/out Preemptive Rights</t>
  </si>
  <si>
    <t>Amendments to Articles (Meeting Location)</t>
  </si>
  <si>
    <t>Amendments to Articles (Technical)</t>
  </si>
  <si>
    <t>PENGANA WHEB Sustainable Impact Fund</t>
  </si>
  <si>
    <t>Institutional Cash Series</t>
  </si>
  <si>
    <t>G4837C701</t>
  </si>
  <si>
    <t>IE000MZVPVK9</t>
  </si>
  <si>
    <t>3/27/2026</t>
  </si>
  <si>
    <t>3/25/2026</t>
  </si>
  <si>
    <t>Foresight Global Real Infrastructure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</si>
</sst>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HelveticaNeueLT Std"/>
      <family val="2"/>
    </font>
    <font>
      <b/>
      <sz val="13"/>
      <color theme="3"/>
      <name val="HelveticaNeueLT Std"/>
      <family val="2"/>
    </font>
    <font>
      <b/>
      <sz val="11"/>
      <color theme="3"/>
      <name val="HelveticaNeueLT Std"/>
      <family val="2"/>
    </font>
    <font>
      <sz val="11"/>
      <color rgb="FF006100"/>
      <name val="HelveticaNeueLT Std"/>
      <family val="2"/>
    </font>
    <font>
      <sz val="11"/>
      <color rgb="FF9C0006"/>
      <name val="HelveticaNeueLT Std"/>
      <family val="2"/>
    </font>
    <font>
      <sz val="11"/>
      <color rgb="FF9C5700"/>
      <name val="HelveticaNeueLT Std"/>
      <family val="2"/>
    </font>
    <font>
      <sz val="11"/>
      <color rgb="FF3F3F76"/>
      <name val="HelveticaNeueLT Std"/>
      <family val="2"/>
    </font>
    <font>
      <b/>
      <sz val="11"/>
      <color rgb="FF3F3F3F"/>
      <name val="HelveticaNeueLT Std"/>
      <family val="2"/>
    </font>
    <font>
      <b/>
      <sz val="11"/>
      <color rgb="FFFA7D00"/>
      <name val="HelveticaNeueLT Std"/>
      <family val="2"/>
    </font>
    <font>
      <sz val="11"/>
      <color rgb="FFFA7D00"/>
      <name val="HelveticaNeueLT Std"/>
      <family val="2"/>
    </font>
    <font>
      <b/>
      <sz val="11"/>
      <color theme="0"/>
      <name val="HelveticaNeueLT Std"/>
      <family val="2"/>
    </font>
    <font>
      <sz val="11"/>
      <color rgb="FFFF0000"/>
      <name val="HelveticaNeueLT Std"/>
      <family val="2"/>
    </font>
    <font>
      <i/>
      <sz val="11"/>
      <color rgb="FF7F7F7F"/>
      <name val="HelveticaNeueLT Std"/>
      <family val="2"/>
    </font>
    <font>
      <b/>
      <sz val="11"/>
      <color theme="1"/>
      <name val="HelveticaNeueLT Std"/>
      <family val="2"/>
    </font>
    <font>
      <sz val="11"/>
      <color theme="0"/>
      <name val="HelveticaNeueLT Std"/>
      <family val="2"/>
    </font>
    <font>
      <b/>
      <sz val="11"/>
      <color theme="1"/>
      <name val="HelveticaNeueLT Std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79FE-0EC7-4AA2-BDAD-FECFE8A41ADC}">
  <dimension ref="A1:CB336"/>
  <sheetViews>
    <sheetView tabSelected="1" workbookViewId="0">
      <selection activeCell="A5" sqref="A5"/>
    </sheetView>
  </sheetViews>
  <sheetFormatPr defaultRowHeight="14.25"/>
  <cols>
    <col min="1" max="1" width="47.5" bestFit="1" customWidth="1"/>
    <col min="2" max="2" width="40.75" bestFit="1" customWidth="1"/>
    <col min="3" max="3" width="20" bestFit="1" customWidth="1"/>
    <col min="4" max="4" width="41.25" bestFit="1" customWidth="1"/>
    <col min="5" max="5" width="11" bestFit="1" customWidth="1"/>
    <col min="6" max="6" width="8" bestFit="1" customWidth="1"/>
    <col min="7" max="7" width="9.375" bestFit="1" customWidth="1"/>
    <col min="8" max="8" width="9.25" bestFit="1" customWidth="1"/>
    <col min="9" max="9" width="8.875" bestFit="1" customWidth="1"/>
    <col min="10" max="10" width="10.75" bestFit="1" customWidth="1"/>
    <col min="11" max="11" width="10.25" bestFit="1" customWidth="1"/>
    <col min="12" max="12" width="11" bestFit="1" customWidth="1"/>
    <col min="13" max="13" width="15.875" bestFit="1" customWidth="1"/>
    <col min="14" max="14" width="20.625" bestFit="1" customWidth="1"/>
    <col min="15" max="15" width="14.75" bestFit="1" customWidth="1"/>
    <col min="16" max="16" width="14.625" bestFit="1" customWidth="1"/>
    <col min="17" max="17" width="11.625" bestFit="1" customWidth="1"/>
    <col min="18" max="18" width="11.5" bestFit="1" customWidth="1"/>
    <col min="19" max="19" width="11.25" bestFit="1" customWidth="1"/>
    <col min="20" max="20" width="12.375" bestFit="1" customWidth="1"/>
    <col min="21" max="21" width="16.125" bestFit="1" customWidth="1"/>
    <col min="22" max="22" width="24.5" bestFit="1" customWidth="1"/>
    <col min="23" max="23" width="13.125" bestFit="1" customWidth="1"/>
    <col min="24" max="24" width="66" bestFit="1" customWidth="1"/>
    <col min="25" max="25" width="9.625" bestFit="1" customWidth="1"/>
    <col min="26" max="26" width="8.75" bestFit="1" customWidth="1"/>
    <col min="27" max="27" width="11.375" bestFit="1" customWidth="1"/>
    <col min="28" max="28" width="6.875" bestFit="1" customWidth="1"/>
    <col min="29" max="29" width="13.875" bestFit="1" customWidth="1"/>
    <col min="30" max="30" width="8.125" bestFit="1" customWidth="1"/>
    <col min="31" max="31" width="12.75" bestFit="1" customWidth="1"/>
    <col min="32" max="32" width="12.125" bestFit="1" customWidth="1"/>
    <col min="33" max="33" width="8.75" bestFit="1" customWidth="1"/>
    <col min="34" max="35" width="12" bestFit="1" customWidth="1"/>
    <col min="36" max="36" width="13.25" bestFit="1" customWidth="1"/>
    <col min="37" max="37" width="11.25" bestFit="1" customWidth="1"/>
    <col min="38" max="39" width="12.25" bestFit="1" customWidth="1"/>
    <col min="40" max="40" width="18" bestFit="1" customWidth="1"/>
    <col min="41" max="41" width="223.125" bestFit="1" customWidth="1"/>
    <col min="42" max="42" width="255.625" bestFit="1" customWidth="1"/>
    <col min="43" max="43" width="15" bestFit="1" customWidth="1"/>
    <col min="44" max="44" width="21.25" bestFit="1" customWidth="1"/>
    <col min="45" max="45" width="10.125" bestFit="1" customWidth="1"/>
    <col min="46" max="46" width="26.375" bestFit="1" customWidth="1"/>
    <col min="47" max="47" width="63.125" bestFit="1" customWidth="1"/>
    <col min="48" max="48" width="12.125" bestFit="1" customWidth="1"/>
    <col min="49" max="49" width="11.875" bestFit="1" customWidth="1"/>
    <col min="50" max="50" width="10.875" bestFit="1" customWidth="1"/>
    <col min="51" max="51" width="13.875" bestFit="1" customWidth="1"/>
    <col min="52" max="52" width="14.25" bestFit="1" customWidth="1"/>
    <col min="53" max="53" width="8.375" bestFit="1" customWidth="1"/>
    <col min="54" max="54" width="7.75" bestFit="1" customWidth="1"/>
    <col min="55" max="55" width="4.625" bestFit="1" customWidth="1"/>
    <col min="56" max="56" width="20.125" bestFit="1" customWidth="1"/>
    <col min="57" max="57" width="20" bestFit="1" customWidth="1"/>
    <col min="58" max="58" width="13.5" bestFit="1" customWidth="1"/>
    <col min="59" max="59" width="12.375" bestFit="1" customWidth="1"/>
    <col min="60" max="60" width="10.625" bestFit="1" customWidth="1"/>
    <col min="61" max="61" width="15.625" bestFit="1" customWidth="1"/>
    <col min="62" max="62" width="18.875" bestFit="1" customWidth="1"/>
    <col min="63" max="63" width="23.625" bestFit="1" customWidth="1"/>
    <col min="64" max="64" width="9.875" bestFit="1" customWidth="1"/>
    <col min="65" max="66" width="12" bestFit="1" customWidth="1"/>
    <col min="67" max="67" width="13.25" bestFit="1" customWidth="1"/>
    <col min="68" max="68" width="11.25" bestFit="1" customWidth="1"/>
    <col min="69" max="70" width="12.25" bestFit="1" customWidth="1"/>
    <col min="71" max="71" width="10" bestFit="1" customWidth="1"/>
    <col min="72" max="72" width="18.875" bestFit="1" customWidth="1"/>
    <col min="73" max="74" width="22.25" bestFit="1" customWidth="1"/>
    <col min="75" max="75" width="23.375" bestFit="1" customWidth="1"/>
    <col min="76" max="76" width="21.5" bestFit="1" customWidth="1"/>
    <col min="77" max="78" width="22.5" bestFit="1" customWidth="1"/>
    <col min="79" max="79" width="7.25" bestFit="1" customWidth="1"/>
    <col min="80" max="80" width="10.375" bestFit="1" customWidth="1"/>
  </cols>
  <sheetData>
    <row r="1" spans="1:80" s="2" customFormat="1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</row>
    <row r="2" spans="1:80">
      <c r="A2" t="s">
        <v>80</v>
      </c>
      <c r="B2" t="s">
        <v>81</v>
      </c>
      <c r="C2" t="s">
        <v>82</v>
      </c>
      <c r="D2" t="s">
        <v>83</v>
      </c>
      <c r="E2">
        <v>32818</v>
      </c>
      <c r="F2" t="s">
        <v>84</v>
      </c>
      <c r="G2">
        <v>1448754</v>
      </c>
      <c r="H2">
        <v>1149028</v>
      </c>
      <c r="I2">
        <v>36986180</v>
      </c>
      <c r="J2">
        <v>421614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T2" t="s">
        <v>92</v>
      </c>
      <c r="U2">
        <v>1</v>
      </c>
      <c r="V2">
        <v>1</v>
      </c>
      <c r="W2" t="str">
        <f>"1"</f>
        <v>1</v>
      </c>
      <c r="X2" t="s">
        <v>93</v>
      </c>
      <c r="AA2" t="s">
        <v>94</v>
      </c>
      <c r="AB2" t="s">
        <v>95</v>
      </c>
      <c r="AC2" t="s">
        <v>96</v>
      </c>
      <c r="AD2" t="s">
        <v>95</v>
      </c>
      <c r="AE2" t="s">
        <v>95</v>
      </c>
      <c r="AF2" t="s">
        <v>95</v>
      </c>
      <c r="AN2" t="s">
        <v>95</v>
      </c>
      <c r="AQ2" t="s">
        <v>97</v>
      </c>
      <c r="AS2">
        <v>6101</v>
      </c>
      <c r="AT2" t="s">
        <v>98</v>
      </c>
      <c r="AU2" t="s">
        <v>93</v>
      </c>
      <c r="AV2">
        <v>175302</v>
      </c>
      <c r="AW2">
        <v>175302</v>
      </c>
      <c r="AX2">
        <v>175302</v>
      </c>
      <c r="AY2">
        <v>0</v>
      </c>
      <c r="BB2">
        <v>496922</v>
      </c>
      <c r="BC2" t="s">
        <v>99</v>
      </c>
      <c r="BD2" s="1">
        <v>45912</v>
      </c>
      <c r="BE2" s="1">
        <v>46003</v>
      </c>
      <c r="BG2" t="s">
        <v>100</v>
      </c>
      <c r="BH2" t="str">
        <f>"720758727"</f>
        <v>720758727</v>
      </c>
      <c r="BI2" t="s">
        <v>101</v>
      </c>
      <c r="BJ2" t="s">
        <v>102</v>
      </c>
      <c r="BK2" t="s">
        <v>102</v>
      </c>
      <c r="BL2">
        <v>5292922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5292922</v>
      </c>
      <c r="BT2">
        <v>100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</row>
    <row r="3" spans="1:80">
      <c r="A3" t="s">
        <v>103</v>
      </c>
      <c r="B3" t="s">
        <v>104</v>
      </c>
      <c r="C3" t="s">
        <v>105</v>
      </c>
      <c r="D3" t="s">
        <v>106</v>
      </c>
      <c r="E3">
        <v>2893</v>
      </c>
      <c r="F3" t="s">
        <v>107</v>
      </c>
      <c r="G3">
        <v>1426600</v>
      </c>
      <c r="H3">
        <v>1140928</v>
      </c>
      <c r="I3">
        <v>36887664</v>
      </c>
      <c r="J3" t="s">
        <v>108</v>
      </c>
      <c r="K3" t="str">
        <f>"201723103"</f>
        <v>201723103</v>
      </c>
      <c r="L3">
        <v>201723103</v>
      </c>
      <c r="M3" t="s">
        <v>109</v>
      </c>
      <c r="N3" t="s">
        <v>110</v>
      </c>
      <c r="O3" t="s">
        <v>111</v>
      </c>
      <c r="P3" t="s">
        <v>111</v>
      </c>
      <c r="Q3" t="s">
        <v>112</v>
      </c>
      <c r="R3" t="s">
        <v>113</v>
      </c>
      <c r="S3" t="s">
        <v>114</v>
      </c>
      <c r="T3" t="s">
        <v>115</v>
      </c>
      <c r="U3">
        <v>1</v>
      </c>
      <c r="V3">
        <v>1</v>
      </c>
      <c r="W3" t="str">
        <f>"1.1"</f>
        <v>1.1</v>
      </c>
      <c r="X3" t="s">
        <v>116</v>
      </c>
      <c r="Y3">
        <v>3518304</v>
      </c>
      <c r="Z3">
        <v>176655</v>
      </c>
      <c r="AA3" t="s">
        <v>94</v>
      </c>
      <c r="AB3" t="s">
        <v>95</v>
      </c>
      <c r="AC3" t="s">
        <v>96</v>
      </c>
      <c r="AD3" t="s">
        <v>95</v>
      </c>
      <c r="AE3" t="s">
        <v>95</v>
      </c>
      <c r="AF3" t="s">
        <v>95</v>
      </c>
      <c r="AN3" t="s">
        <v>95</v>
      </c>
      <c r="AQ3" t="s">
        <v>115</v>
      </c>
      <c r="AR3" s="1">
        <v>46174</v>
      </c>
      <c r="AS3">
        <v>100</v>
      </c>
      <c r="AT3" t="s">
        <v>117</v>
      </c>
      <c r="AU3" t="s">
        <v>118</v>
      </c>
      <c r="AV3">
        <v>9713</v>
      </c>
      <c r="AW3">
        <v>9713</v>
      </c>
      <c r="AX3">
        <v>9713</v>
      </c>
      <c r="AY3">
        <v>0</v>
      </c>
      <c r="AZ3" t="s">
        <v>92</v>
      </c>
      <c r="BB3">
        <v>492666</v>
      </c>
      <c r="BC3" t="s">
        <v>99</v>
      </c>
      <c r="BD3" t="s">
        <v>119</v>
      </c>
      <c r="BE3" t="s">
        <v>120</v>
      </c>
      <c r="BG3" t="s">
        <v>100</v>
      </c>
      <c r="BH3" t="str">
        <f>"936366764"</f>
        <v>936366764</v>
      </c>
      <c r="BI3" t="s">
        <v>101</v>
      </c>
      <c r="BJ3" t="s">
        <v>102</v>
      </c>
      <c r="BK3" t="s">
        <v>102</v>
      </c>
      <c r="BL3">
        <v>91635227</v>
      </c>
      <c r="BM3">
        <v>3872264</v>
      </c>
      <c r="BN3">
        <v>82824</v>
      </c>
      <c r="BO3">
        <v>0</v>
      </c>
      <c r="BP3">
        <v>0</v>
      </c>
      <c r="BQ3">
        <v>0</v>
      </c>
      <c r="BR3">
        <v>0</v>
      </c>
      <c r="BS3">
        <v>95590315</v>
      </c>
      <c r="BT3">
        <v>95.86</v>
      </c>
      <c r="BU3">
        <v>4.05</v>
      </c>
      <c r="BV3">
        <v>0.09</v>
      </c>
      <c r="BW3">
        <v>0</v>
      </c>
      <c r="BX3">
        <v>0</v>
      </c>
      <c r="BY3">
        <v>0</v>
      </c>
      <c r="BZ3">
        <v>0</v>
      </c>
    </row>
    <row r="4" spans="1:80">
      <c r="A4" t="s">
        <v>103</v>
      </c>
      <c r="B4" t="s">
        <v>104</v>
      </c>
      <c r="C4" t="s">
        <v>105</v>
      </c>
      <c r="D4" t="s">
        <v>106</v>
      </c>
      <c r="E4">
        <v>2893</v>
      </c>
      <c r="F4" t="s">
        <v>107</v>
      </c>
      <c r="G4">
        <v>1426600</v>
      </c>
      <c r="H4">
        <v>1140928</v>
      </c>
      <c r="I4">
        <v>36887664</v>
      </c>
      <c r="J4" t="s">
        <v>108</v>
      </c>
      <c r="K4" t="str">
        <f>"201723103"</f>
        <v>201723103</v>
      </c>
      <c r="L4">
        <v>201723103</v>
      </c>
      <c r="M4" t="s">
        <v>109</v>
      </c>
      <c r="N4" t="s">
        <v>110</v>
      </c>
      <c r="O4" t="s">
        <v>111</v>
      </c>
      <c r="P4" t="s">
        <v>111</v>
      </c>
      <c r="Q4" t="s">
        <v>112</v>
      </c>
      <c r="R4" t="s">
        <v>113</v>
      </c>
      <c r="S4" t="s">
        <v>114</v>
      </c>
      <c r="T4" t="s">
        <v>115</v>
      </c>
      <c r="U4">
        <v>2</v>
      </c>
      <c r="V4">
        <v>2</v>
      </c>
      <c r="W4" t="str">
        <f>"1.2"</f>
        <v>1.2</v>
      </c>
      <c r="X4" t="s">
        <v>121</v>
      </c>
      <c r="Y4">
        <v>3518301</v>
      </c>
      <c r="Z4">
        <v>529003</v>
      </c>
      <c r="AA4" t="s">
        <v>94</v>
      </c>
      <c r="AB4" t="s">
        <v>95</v>
      </c>
      <c r="AC4" t="s">
        <v>96</v>
      </c>
      <c r="AD4" t="s">
        <v>95</v>
      </c>
      <c r="AE4" t="s">
        <v>95</v>
      </c>
      <c r="AF4" t="s">
        <v>95</v>
      </c>
      <c r="AN4" t="s">
        <v>95</v>
      </c>
      <c r="AQ4" t="s">
        <v>115</v>
      </c>
      <c r="AR4" s="1">
        <v>46174</v>
      </c>
      <c r="AS4">
        <v>100</v>
      </c>
      <c r="AT4" t="s">
        <v>117</v>
      </c>
      <c r="AU4" t="s">
        <v>118</v>
      </c>
      <c r="AV4">
        <v>9713</v>
      </c>
      <c r="AW4">
        <v>9713</v>
      </c>
      <c r="AX4">
        <v>9713</v>
      </c>
      <c r="AY4">
        <v>0</v>
      </c>
      <c r="AZ4" t="s">
        <v>92</v>
      </c>
      <c r="BB4">
        <v>492666</v>
      </c>
      <c r="BC4" t="s">
        <v>99</v>
      </c>
      <c r="BD4" t="s">
        <v>119</v>
      </c>
      <c r="BE4" t="s">
        <v>120</v>
      </c>
      <c r="BG4" t="s">
        <v>100</v>
      </c>
      <c r="BH4" t="str">
        <f>"936366764"</f>
        <v>936366764</v>
      </c>
      <c r="BI4" t="s">
        <v>101</v>
      </c>
      <c r="BJ4" t="s">
        <v>102</v>
      </c>
      <c r="BK4" t="s">
        <v>102</v>
      </c>
      <c r="BL4">
        <v>91246231</v>
      </c>
      <c r="BM4">
        <v>4262064</v>
      </c>
      <c r="BN4">
        <v>82019</v>
      </c>
      <c r="BO4">
        <v>0</v>
      </c>
      <c r="BP4">
        <v>0</v>
      </c>
      <c r="BQ4">
        <v>0</v>
      </c>
      <c r="BR4">
        <v>0</v>
      </c>
      <c r="BS4">
        <v>95590314</v>
      </c>
      <c r="BT4">
        <v>95.46</v>
      </c>
      <c r="BU4">
        <v>4.46</v>
      </c>
      <c r="BV4">
        <v>0.09</v>
      </c>
      <c r="BW4">
        <v>0</v>
      </c>
      <c r="BX4">
        <v>0</v>
      </c>
      <c r="BY4">
        <v>0</v>
      </c>
      <c r="BZ4">
        <v>0</v>
      </c>
    </row>
    <row r="5" spans="1:80">
      <c r="A5" t="s">
        <v>103</v>
      </c>
      <c r="B5" t="s">
        <v>104</v>
      </c>
      <c r="C5" t="s">
        <v>105</v>
      </c>
      <c r="D5" t="s">
        <v>106</v>
      </c>
      <c r="E5">
        <v>2893</v>
      </c>
      <c r="F5" t="s">
        <v>107</v>
      </c>
      <c r="G5">
        <v>1426600</v>
      </c>
      <c r="H5">
        <v>1140928</v>
      </c>
      <c r="I5">
        <v>36887664</v>
      </c>
      <c r="J5" t="s">
        <v>108</v>
      </c>
      <c r="K5" t="str">
        <f>"201723103"</f>
        <v>201723103</v>
      </c>
      <c r="L5">
        <v>201723103</v>
      </c>
      <c r="M5" t="s">
        <v>109</v>
      </c>
      <c r="N5" t="s">
        <v>110</v>
      </c>
      <c r="O5" t="s">
        <v>111</v>
      </c>
      <c r="P5" t="s">
        <v>111</v>
      </c>
      <c r="Q5" t="s">
        <v>112</v>
      </c>
      <c r="R5" t="s">
        <v>113</v>
      </c>
      <c r="S5" t="s">
        <v>114</v>
      </c>
      <c r="T5" t="s">
        <v>115</v>
      </c>
      <c r="U5">
        <v>3</v>
      </c>
      <c r="V5">
        <v>3</v>
      </c>
      <c r="W5" t="str">
        <f>"1.3"</f>
        <v>1.3</v>
      </c>
      <c r="X5" t="s">
        <v>122</v>
      </c>
      <c r="Y5">
        <v>3518299</v>
      </c>
      <c r="Z5">
        <v>481941</v>
      </c>
      <c r="AA5" t="s">
        <v>94</v>
      </c>
      <c r="AB5" t="s">
        <v>95</v>
      </c>
      <c r="AC5" t="s">
        <v>96</v>
      </c>
      <c r="AD5" t="s">
        <v>95</v>
      </c>
      <c r="AE5" t="s">
        <v>123</v>
      </c>
      <c r="AF5" t="s">
        <v>123</v>
      </c>
      <c r="AN5" t="s">
        <v>123</v>
      </c>
      <c r="AO5" t="s">
        <v>124</v>
      </c>
      <c r="AP5" t="str">
        <f>"The nominee is an executive of a public company and sits on more than two public company boards or the nominee is not an executive of a public company and sits on more than five public company boards."</f>
        <v>The nominee is an executive of a public company and sits on more than two public company boards or the nominee is not an executive of a public company and sits on more than five public company boards.</v>
      </c>
      <c r="AQ5" t="s">
        <v>115</v>
      </c>
      <c r="AR5" s="1">
        <v>46174</v>
      </c>
      <c r="AS5">
        <v>100</v>
      </c>
      <c r="AT5" t="s">
        <v>117</v>
      </c>
      <c r="AU5" t="s">
        <v>118</v>
      </c>
      <c r="AV5">
        <v>9713</v>
      </c>
      <c r="AW5">
        <v>9713</v>
      </c>
      <c r="AX5">
        <v>9713</v>
      </c>
      <c r="AY5">
        <v>0</v>
      </c>
      <c r="AZ5" t="s">
        <v>92</v>
      </c>
      <c r="BB5">
        <v>492666</v>
      </c>
      <c r="BC5" t="s">
        <v>99</v>
      </c>
      <c r="BD5" t="s">
        <v>119</v>
      </c>
      <c r="BE5" t="s">
        <v>120</v>
      </c>
      <c r="BG5" t="s">
        <v>100</v>
      </c>
      <c r="BH5" t="str">
        <f>"936366764"</f>
        <v>936366764</v>
      </c>
      <c r="BI5" t="s">
        <v>101</v>
      </c>
      <c r="BJ5" t="s">
        <v>102</v>
      </c>
      <c r="BK5" t="s">
        <v>123</v>
      </c>
      <c r="BL5">
        <v>76957212</v>
      </c>
      <c r="BM5">
        <v>18534728</v>
      </c>
      <c r="BN5">
        <v>98374</v>
      </c>
      <c r="BO5">
        <v>0</v>
      </c>
      <c r="BP5">
        <v>0</v>
      </c>
      <c r="BQ5">
        <v>0</v>
      </c>
      <c r="BR5">
        <v>0</v>
      </c>
      <c r="BS5">
        <v>95590314</v>
      </c>
      <c r="BT5">
        <v>80.510000000000005</v>
      </c>
      <c r="BU5">
        <v>19.39</v>
      </c>
      <c r="BV5">
        <v>0.1</v>
      </c>
      <c r="BW5">
        <v>0</v>
      </c>
      <c r="BX5">
        <v>0</v>
      </c>
      <c r="BY5">
        <v>0</v>
      </c>
      <c r="BZ5">
        <v>0</v>
      </c>
    </row>
    <row r="6" spans="1:80">
      <c r="A6" t="s">
        <v>103</v>
      </c>
      <c r="B6" t="s">
        <v>104</v>
      </c>
      <c r="C6" t="s">
        <v>105</v>
      </c>
      <c r="D6" t="s">
        <v>106</v>
      </c>
      <c r="E6">
        <v>2893</v>
      </c>
      <c r="F6" t="s">
        <v>107</v>
      </c>
      <c r="G6">
        <v>1426600</v>
      </c>
      <c r="H6">
        <v>1140928</v>
      </c>
      <c r="I6">
        <v>36887664</v>
      </c>
      <c r="J6" t="s">
        <v>108</v>
      </c>
      <c r="K6" t="str">
        <f>"201723103"</f>
        <v>201723103</v>
      </c>
      <c r="L6">
        <v>201723103</v>
      </c>
      <c r="M6" t="s">
        <v>109</v>
      </c>
      <c r="N6" t="s">
        <v>110</v>
      </c>
      <c r="O6" t="s">
        <v>111</v>
      </c>
      <c r="P6" t="s">
        <v>111</v>
      </c>
      <c r="Q6" t="s">
        <v>112</v>
      </c>
      <c r="R6" t="s">
        <v>113</v>
      </c>
      <c r="S6" t="s">
        <v>114</v>
      </c>
      <c r="T6" t="s">
        <v>115</v>
      </c>
      <c r="U6">
        <v>4</v>
      </c>
      <c r="V6">
        <v>4</v>
      </c>
      <c r="W6" t="str">
        <f>"2."</f>
        <v>2.</v>
      </c>
      <c r="X6" t="s">
        <v>125</v>
      </c>
      <c r="AA6" t="s">
        <v>94</v>
      </c>
      <c r="AB6" t="s">
        <v>95</v>
      </c>
      <c r="AC6" t="s">
        <v>96</v>
      </c>
      <c r="AD6" t="s">
        <v>95</v>
      </c>
      <c r="AE6" t="s">
        <v>123</v>
      </c>
      <c r="AF6" t="s">
        <v>123</v>
      </c>
      <c r="AN6" t="s">
        <v>123</v>
      </c>
      <c r="AO6" t="str">
        <f>"The auditor's tenure is excessive."</f>
        <v>The auditor's tenure is excessive.</v>
      </c>
      <c r="AP6" t="str">
        <f>"The auditor's tenure is excessive."</f>
        <v>The auditor's tenure is excessive.</v>
      </c>
      <c r="AQ6" t="s">
        <v>115</v>
      </c>
      <c r="AR6" s="1">
        <v>46174</v>
      </c>
      <c r="AS6">
        <v>200</v>
      </c>
      <c r="AT6" t="s">
        <v>126</v>
      </c>
      <c r="AU6" t="s">
        <v>125</v>
      </c>
      <c r="AV6">
        <v>9713</v>
      </c>
      <c r="AW6">
        <v>9713</v>
      </c>
      <c r="AX6">
        <v>9713</v>
      </c>
      <c r="AY6">
        <v>0</v>
      </c>
      <c r="AZ6" t="s">
        <v>92</v>
      </c>
      <c r="BB6">
        <v>492666</v>
      </c>
      <c r="BC6" t="s">
        <v>99</v>
      </c>
      <c r="BD6" t="s">
        <v>119</v>
      </c>
      <c r="BE6" t="s">
        <v>120</v>
      </c>
      <c r="BG6" t="s">
        <v>100</v>
      </c>
      <c r="BH6" t="str">
        <f>"936366764"</f>
        <v>936366764</v>
      </c>
      <c r="BI6" t="s">
        <v>101</v>
      </c>
      <c r="BJ6" t="s">
        <v>102</v>
      </c>
      <c r="BK6" t="s">
        <v>123</v>
      </c>
      <c r="BL6">
        <v>100700296</v>
      </c>
      <c r="BM6">
        <v>2003606</v>
      </c>
      <c r="BN6">
        <v>93108</v>
      </c>
      <c r="BO6">
        <v>0</v>
      </c>
      <c r="BP6">
        <v>0</v>
      </c>
      <c r="BQ6">
        <v>0</v>
      </c>
      <c r="BR6">
        <v>0</v>
      </c>
      <c r="BS6">
        <v>102797010</v>
      </c>
      <c r="BT6">
        <v>97.96</v>
      </c>
      <c r="BU6">
        <v>1.95</v>
      </c>
      <c r="BV6">
        <v>0.09</v>
      </c>
      <c r="BW6">
        <v>0</v>
      </c>
      <c r="BX6">
        <v>0</v>
      </c>
      <c r="BY6">
        <v>0</v>
      </c>
      <c r="BZ6">
        <v>0</v>
      </c>
    </row>
    <row r="7" spans="1:80">
      <c r="A7" t="s">
        <v>103</v>
      </c>
      <c r="B7" t="s">
        <v>104</v>
      </c>
      <c r="C7" t="s">
        <v>105</v>
      </c>
      <c r="D7" t="s">
        <v>106</v>
      </c>
      <c r="E7">
        <v>2893</v>
      </c>
      <c r="F7" t="s">
        <v>107</v>
      </c>
      <c r="G7">
        <v>1426600</v>
      </c>
      <c r="H7">
        <v>1140928</v>
      </c>
      <c r="I7">
        <v>36887664</v>
      </c>
      <c r="J7" t="s">
        <v>108</v>
      </c>
      <c r="K7" t="str">
        <f>"201723103"</f>
        <v>201723103</v>
      </c>
      <c r="L7">
        <v>201723103</v>
      </c>
      <c r="M7" t="s">
        <v>109</v>
      </c>
      <c r="N7" t="s">
        <v>110</v>
      </c>
      <c r="O7" t="s">
        <v>111</v>
      </c>
      <c r="P7" t="s">
        <v>111</v>
      </c>
      <c r="Q7" t="s">
        <v>112</v>
      </c>
      <c r="R7" t="s">
        <v>113</v>
      </c>
      <c r="S7" t="s">
        <v>114</v>
      </c>
      <c r="T7" t="s">
        <v>115</v>
      </c>
      <c r="U7">
        <v>5</v>
      </c>
      <c r="V7">
        <v>5</v>
      </c>
      <c r="W7" t="str">
        <f>"3."</f>
        <v>3.</v>
      </c>
      <c r="X7" t="s">
        <v>127</v>
      </c>
      <c r="AA7" t="s">
        <v>94</v>
      </c>
      <c r="AB7" t="s">
        <v>95</v>
      </c>
      <c r="AC7" t="s">
        <v>96</v>
      </c>
      <c r="AD7" t="s">
        <v>95</v>
      </c>
      <c r="AE7" t="s">
        <v>95</v>
      </c>
      <c r="AF7" t="s">
        <v>123</v>
      </c>
      <c r="AN7" t="s">
        <v>123</v>
      </c>
      <c r="AO7" t="str">
        <f>"Lack of Sustainability-linked remuneration. "</f>
        <v xml:space="preserve">Lack of Sustainability-linked remuneration. </v>
      </c>
      <c r="AQ7" t="s">
        <v>115</v>
      </c>
      <c r="AR7" s="1">
        <v>46174</v>
      </c>
      <c r="AS7">
        <v>605</v>
      </c>
      <c r="AT7" t="s">
        <v>128</v>
      </c>
      <c r="AU7" t="s">
        <v>127</v>
      </c>
      <c r="AV7">
        <v>9713</v>
      </c>
      <c r="AW7">
        <v>9713</v>
      </c>
      <c r="AX7">
        <v>9713</v>
      </c>
      <c r="AY7">
        <v>0</v>
      </c>
      <c r="AZ7" t="s">
        <v>92</v>
      </c>
      <c r="BB7">
        <v>492666</v>
      </c>
      <c r="BC7" t="s">
        <v>99</v>
      </c>
      <c r="BD7" t="s">
        <v>119</v>
      </c>
      <c r="BE7" t="s">
        <v>120</v>
      </c>
      <c r="BG7" t="s">
        <v>100</v>
      </c>
      <c r="BH7" t="str">
        <f>"936366764"</f>
        <v>936366764</v>
      </c>
      <c r="BI7" t="s">
        <v>101</v>
      </c>
      <c r="BJ7" t="s">
        <v>123</v>
      </c>
      <c r="BK7" t="s">
        <v>123</v>
      </c>
      <c r="BL7">
        <v>91641481</v>
      </c>
      <c r="BM7">
        <v>3815425</v>
      </c>
      <c r="BN7">
        <v>133408</v>
      </c>
      <c r="BO7">
        <v>0</v>
      </c>
      <c r="BP7">
        <v>0</v>
      </c>
      <c r="BQ7">
        <v>0</v>
      </c>
      <c r="BR7">
        <v>0</v>
      </c>
      <c r="BS7">
        <v>95590314</v>
      </c>
      <c r="BT7">
        <v>95.87</v>
      </c>
      <c r="BU7">
        <v>3.99</v>
      </c>
      <c r="BV7">
        <v>0.14000000000000001</v>
      </c>
      <c r="BW7">
        <v>0</v>
      </c>
      <c r="BX7">
        <v>0</v>
      </c>
      <c r="BY7">
        <v>0</v>
      </c>
      <c r="BZ7">
        <v>0</v>
      </c>
    </row>
    <row r="8" spans="1:80">
      <c r="A8" t="s">
        <v>103</v>
      </c>
      <c r="B8" t="s">
        <v>129</v>
      </c>
      <c r="C8" t="s">
        <v>130</v>
      </c>
      <c r="D8" t="s">
        <v>131</v>
      </c>
      <c r="E8">
        <v>552</v>
      </c>
      <c r="F8" t="s">
        <v>132</v>
      </c>
      <c r="G8">
        <v>1442226</v>
      </c>
      <c r="H8">
        <v>1150855</v>
      </c>
      <c r="I8">
        <v>37003722</v>
      </c>
      <c r="J8" t="s">
        <v>133</v>
      </c>
      <c r="K8" t="str">
        <f t="shared" ref="K8:K13" si="0">"737630103"</f>
        <v>737630103</v>
      </c>
      <c r="L8">
        <v>737630103</v>
      </c>
      <c r="M8" t="s">
        <v>134</v>
      </c>
      <c r="N8" t="s">
        <v>110</v>
      </c>
      <c r="O8" t="s">
        <v>111</v>
      </c>
      <c r="P8" t="s">
        <v>111</v>
      </c>
      <c r="Q8" t="s">
        <v>90</v>
      </c>
      <c r="R8" t="s">
        <v>135</v>
      </c>
      <c r="S8" t="s">
        <v>136</v>
      </c>
      <c r="T8" t="s">
        <v>137</v>
      </c>
      <c r="U8">
        <v>1</v>
      </c>
      <c r="V8">
        <v>1</v>
      </c>
      <c r="W8" t="str">
        <f>"1."</f>
        <v>1.</v>
      </c>
      <c r="X8" t="s">
        <v>138</v>
      </c>
      <c r="AA8" t="s">
        <v>94</v>
      </c>
      <c r="AB8" t="s">
        <v>95</v>
      </c>
      <c r="AC8" t="s">
        <v>96</v>
      </c>
      <c r="AD8" t="s">
        <v>95</v>
      </c>
      <c r="AE8" t="s">
        <v>95</v>
      </c>
      <c r="AF8" t="s">
        <v>95</v>
      </c>
      <c r="AN8" t="s">
        <v>95</v>
      </c>
      <c r="AQ8" t="s">
        <v>139</v>
      </c>
      <c r="AS8">
        <v>1200</v>
      </c>
      <c r="AT8" t="s">
        <v>140</v>
      </c>
      <c r="AU8" t="s">
        <v>138</v>
      </c>
      <c r="AV8">
        <v>20253</v>
      </c>
      <c r="AW8">
        <v>20253</v>
      </c>
      <c r="AY8">
        <v>0</v>
      </c>
      <c r="AZ8" t="s">
        <v>92</v>
      </c>
      <c r="BB8">
        <v>497779</v>
      </c>
      <c r="BC8" t="s">
        <v>99</v>
      </c>
      <c r="BD8" s="1">
        <v>46143</v>
      </c>
      <c r="BE8" t="s">
        <v>141</v>
      </c>
      <c r="BG8" t="s">
        <v>100</v>
      </c>
      <c r="BH8" t="str">
        <f t="shared" ref="BH8:BH13" si="1">"936381069"</f>
        <v>936381069</v>
      </c>
      <c r="BI8" t="s">
        <v>101</v>
      </c>
      <c r="BJ8" t="s">
        <v>102</v>
      </c>
      <c r="BK8" t="s">
        <v>102</v>
      </c>
      <c r="BL8">
        <v>65171046</v>
      </c>
      <c r="BM8">
        <v>79564</v>
      </c>
      <c r="BN8">
        <v>167616</v>
      </c>
      <c r="BO8">
        <v>0</v>
      </c>
      <c r="BP8">
        <v>0</v>
      </c>
      <c r="BQ8">
        <v>0</v>
      </c>
      <c r="BR8">
        <v>0</v>
      </c>
      <c r="BS8">
        <v>65418226</v>
      </c>
      <c r="BT8">
        <v>99.62</v>
      </c>
      <c r="BU8">
        <v>0.12</v>
      </c>
      <c r="BV8">
        <v>0.26</v>
      </c>
      <c r="BW8">
        <v>0</v>
      </c>
      <c r="BX8">
        <v>0</v>
      </c>
      <c r="BY8">
        <v>0</v>
      </c>
      <c r="BZ8">
        <v>0</v>
      </c>
    </row>
    <row r="9" spans="1:80">
      <c r="A9" t="s">
        <v>103</v>
      </c>
      <c r="B9" t="s">
        <v>129</v>
      </c>
      <c r="C9" t="s">
        <v>130</v>
      </c>
      <c r="D9" t="s">
        <v>131</v>
      </c>
      <c r="E9">
        <v>552</v>
      </c>
      <c r="F9" t="s">
        <v>132</v>
      </c>
      <c r="G9">
        <v>1442226</v>
      </c>
      <c r="H9">
        <v>1150855</v>
      </c>
      <c r="I9">
        <v>37003722</v>
      </c>
      <c r="J9" t="s">
        <v>133</v>
      </c>
      <c r="K9" t="str">
        <f t="shared" si="0"/>
        <v>737630103</v>
      </c>
      <c r="L9">
        <v>737630103</v>
      </c>
      <c r="M9" t="s">
        <v>134</v>
      </c>
      <c r="N9" t="s">
        <v>110</v>
      </c>
      <c r="O9" t="s">
        <v>111</v>
      </c>
      <c r="P9" t="s">
        <v>111</v>
      </c>
      <c r="Q9" t="s">
        <v>90</v>
      </c>
      <c r="R9" t="s">
        <v>135</v>
      </c>
      <c r="S9" t="s">
        <v>136</v>
      </c>
      <c r="T9" t="s">
        <v>137</v>
      </c>
      <c r="U9">
        <v>2</v>
      </c>
      <c r="V9">
        <v>2</v>
      </c>
      <c r="W9" t="str">
        <f>"2."</f>
        <v>2.</v>
      </c>
      <c r="X9" t="s">
        <v>142</v>
      </c>
      <c r="AA9" t="s">
        <v>94</v>
      </c>
      <c r="AB9" t="s">
        <v>95</v>
      </c>
      <c r="AC9" t="s">
        <v>96</v>
      </c>
      <c r="AD9" t="s">
        <v>123</v>
      </c>
      <c r="AE9" t="s">
        <v>123</v>
      </c>
      <c r="AF9" t="s">
        <v>123</v>
      </c>
      <c r="AN9" t="s">
        <v>123</v>
      </c>
      <c r="AO9" t="str">
        <f>"Concerning pay practices"</f>
        <v>Concerning pay practices</v>
      </c>
      <c r="AP9" t="str">
        <f>"Concerning pay practices"</f>
        <v>Concerning pay practices</v>
      </c>
      <c r="AQ9" t="s">
        <v>139</v>
      </c>
      <c r="AS9">
        <v>607</v>
      </c>
      <c r="AT9" t="s">
        <v>128</v>
      </c>
      <c r="AU9" t="s">
        <v>143</v>
      </c>
      <c r="AV9">
        <v>20253</v>
      </c>
      <c r="AW9">
        <v>20253</v>
      </c>
      <c r="AY9">
        <v>0</v>
      </c>
      <c r="AZ9" t="s">
        <v>92</v>
      </c>
      <c r="BB9">
        <v>497779</v>
      </c>
      <c r="BC9" t="s">
        <v>99</v>
      </c>
      <c r="BD9" s="1">
        <v>46143</v>
      </c>
      <c r="BE9" t="s">
        <v>141</v>
      </c>
      <c r="BG9" t="s">
        <v>100</v>
      </c>
      <c r="BH9" t="str">
        <f t="shared" si="1"/>
        <v>936381069</v>
      </c>
      <c r="BI9" t="s">
        <v>101</v>
      </c>
      <c r="BJ9" t="s">
        <v>102</v>
      </c>
      <c r="BK9" t="s">
        <v>102</v>
      </c>
      <c r="BL9">
        <v>18591498</v>
      </c>
      <c r="BM9">
        <v>46538257</v>
      </c>
      <c r="BN9">
        <v>288471</v>
      </c>
      <c r="BO9">
        <v>0</v>
      </c>
      <c r="BP9">
        <v>0</v>
      </c>
      <c r="BQ9">
        <v>0</v>
      </c>
      <c r="BR9">
        <v>0</v>
      </c>
      <c r="BS9">
        <v>65418226</v>
      </c>
      <c r="BT9">
        <v>28.42</v>
      </c>
      <c r="BU9">
        <v>71.14</v>
      </c>
      <c r="BV9">
        <v>0.44</v>
      </c>
      <c r="BW9">
        <v>0</v>
      </c>
      <c r="BX9">
        <v>0</v>
      </c>
      <c r="BY9">
        <v>0</v>
      </c>
      <c r="BZ9">
        <v>0</v>
      </c>
    </row>
    <row r="10" spans="1:80">
      <c r="A10" t="s">
        <v>103</v>
      </c>
      <c r="B10" t="s">
        <v>129</v>
      </c>
      <c r="C10" t="s">
        <v>130</v>
      </c>
      <c r="D10" t="s">
        <v>131</v>
      </c>
      <c r="E10">
        <v>552</v>
      </c>
      <c r="F10" t="s">
        <v>132</v>
      </c>
      <c r="G10">
        <v>1442226</v>
      </c>
      <c r="H10">
        <v>1150855</v>
      </c>
      <c r="I10">
        <v>37003722</v>
      </c>
      <c r="J10" t="s">
        <v>133</v>
      </c>
      <c r="K10" t="str">
        <f t="shared" si="0"/>
        <v>737630103</v>
      </c>
      <c r="L10">
        <v>737630103</v>
      </c>
      <c r="M10" t="s">
        <v>134</v>
      </c>
      <c r="N10" t="s">
        <v>110</v>
      </c>
      <c r="O10" t="s">
        <v>111</v>
      </c>
      <c r="P10" t="s">
        <v>111</v>
      </c>
      <c r="Q10" t="s">
        <v>90</v>
      </c>
      <c r="R10" t="s">
        <v>135</v>
      </c>
      <c r="S10" t="s">
        <v>136</v>
      </c>
      <c r="T10" t="s">
        <v>137</v>
      </c>
      <c r="U10">
        <v>3</v>
      </c>
      <c r="V10">
        <v>3</v>
      </c>
      <c r="W10" t="str">
        <f>"3."</f>
        <v>3.</v>
      </c>
      <c r="X10" t="s">
        <v>144</v>
      </c>
      <c r="AA10" t="s">
        <v>94</v>
      </c>
      <c r="AB10" t="s">
        <v>95</v>
      </c>
      <c r="AC10" t="s">
        <v>96</v>
      </c>
      <c r="AD10" t="s">
        <v>95</v>
      </c>
      <c r="AE10" t="s">
        <v>95</v>
      </c>
      <c r="AF10" t="s">
        <v>95</v>
      </c>
      <c r="AN10" t="s">
        <v>95</v>
      </c>
      <c r="AQ10" t="s">
        <v>139</v>
      </c>
      <c r="AS10">
        <v>710</v>
      </c>
      <c r="AT10" t="s">
        <v>145</v>
      </c>
      <c r="AU10" t="s">
        <v>144</v>
      </c>
      <c r="AV10">
        <v>20253</v>
      </c>
      <c r="AW10">
        <v>20253</v>
      </c>
      <c r="AY10">
        <v>0</v>
      </c>
      <c r="AZ10" t="s">
        <v>92</v>
      </c>
      <c r="BB10">
        <v>497779</v>
      </c>
      <c r="BC10" t="s">
        <v>99</v>
      </c>
      <c r="BD10" s="1">
        <v>46143</v>
      </c>
      <c r="BE10" t="s">
        <v>141</v>
      </c>
      <c r="BG10" t="s">
        <v>100</v>
      </c>
      <c r="BH10" t="str">
        <f t="shared" si="1"/>
        <v>936381069</v>
      </c>
      <c r="BI10" t="s">
        <v>101</v>
      </c>
      <c r="BJ10" t="s">
        <v>102</v>
      </c>
      <c r="BK10" t="s">
        <v>102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</row>
    <row r="11" spans="1:80">
      <c r="A11" t="s">
        <v>146</v>
      </c>
      <c r="B11" t="s">
        <v>129</v>
      </c>
      <c r="C11" t="s">
        <v>130</v>
      </c>
      <c r="D11" t="s">
        <v>131</v>
      </c>
      <c r="E11">
        <v>552</v>
      </c>
      <c r="F11" t="s">
        <v>132</v>
      </c>
      <c r="G11">
        <v>1442226</v>
      </c>
      <c r="H11">
        <v>1150855</v>
      </c>
      <c r="I11">
        <v>37003370</v>
      </c>
      <c r="J11" t="s">
        <v>133</v>
      </c>
      <c r="K11" t="str">
        <f t="shared" si="0"/>
        <v>737630103</v>
      </c>
      <c r="L11">
        <v>737630103</v>
      </c>
      <c r="M11" t="s">
        <v>134</v>
      </c>
      <c r="N11" t="s">
        <v>110</v>
      </c>
      <c r="O11" t="s">
        <v>111</v>
      </c>
      <c r="P11" t="s">
        <v>111</v>
      </c>
      <c r="Q11" t="s">
        <v>90</v>
      </c>
      <c r="R11" t="s">
        <v>135</v>
      </c>
      <c r="S11" t="s">
        <v>136</v>
      </c>
      <c r="T11" t="s">
        <v>137</v>
      </c>
      <c r="U11">
        <v>1</v>
      </c>
      <c r="V11">
        <v>1</v>
      </c>
      <c r="W11" t="str">
        <f>"1."</f>
        <v>1.</v>
      </c>
      <c r="X11" t="s">
        <v>138</v>
      </c>
      <c r="AA11" t="s">
        <v>94</v>
      </c>
      <c r="AB11" t="s">
        <v>95</v>
      </c>
      <c r="AC11" t="s">
        <v>96</v>
      </c>
      <c r="AD11" t="s">
        <v>95</v>
      </c>
      <c r="AE11" t="s">
        <v>95</v>
      </c>
      <c r="AF11" t="s">
        <v>95</v>
      </c>
      <c r="AN11" t="s">
        <v>95</v>
      </c>
      <c r="AQ11" t="s">
        <v>139</v>
      </c>
      <c r="AS11">
        <v>1200</v>
      </c>
      <c r="AT11" t="s">
        <v>140</v>
      </c>
      <c r="AU11" t="s">
        <v>138</v>
      </c>
      <c r="AV11">
        <v>21486</v>
      </c>
      <c r="AW11">
        <v>21486</v>
      </c>
      <c r="AY11">
        <v>0</v>
      </c>
      <c r="AZ11" t="s">
        <v>92</v>
      </c>
      <c r="BB11">
        <v>497779</v>
      </c>
      <c r="BC11" t="s">
        <v>99</v>
      </c>
      <c r="BD11" s="1">
        <v>46143</v>
      </c>
      <c r="BE11" t="s">
        <v>141</v>
      </c>
      <c r="BG11" t="s">
        <v>100</v>
      </c>
      <c r="BH11" t="str">
        <f t="shared" si="1"/>
        <v>936381069</v>
      </c>
      <c r="BI11" t="s">
        <v>101</v>
      </c>
      <c r="BJ11" t="s">
        <v>102</v>
      </c>
      <c r="BK11" t="s">
        <v>102</v>
      </c>
      <c r="BL11">
        <v>65171046</v>
      </c>
      <c r="BM11">
        <v>79564</v>
      </c>
      <c r="BN11">
        <v>167616</v>
      </c>
      <c r="BO11">
        <v>0</v>
      </c>
      <c r="BP11">
        <v>0</v>
      </c>
      <c r="BQ11">
        <v>0</v>
      </c>
      <c r="BR11">
        <v>0</v>
      </c>
      <c r="BS11">
        <v>65418226</v>
      </c>
      <c r="BT11">
        <v>99.62</v>
      </c>
      <c r="BU11">
        <v>0.12</v>
      </c>
      <c r="BV11">
        <v>0.26</v>
      </c>
      <c r="BW11">
        <v>0</v>
      </c>
      <c r="BX11">
        <v>0</v>
      </c>
      <c r="BY11">
        <v>0</v>
      </c>
      <c r="BZ11">
        <v>0</v>
      </c>
    </row>
    <row r="12" spans="1:80">
      <c r="A12" t="s">
        <v>146</v>
      </c>
      <c r="B12" t="s">
        <v>129</v>
      </c>
      <c r="C12" t="s">
        <v>130</v>
      </c>
      <c r="D12" t="s">
        <v>131</v>
      </c>
      <c r="E12">
        <v>552</v>
      </c>
      <c r="F12" t="s">
        <v>132</v>
      </c>
      <c r="G12">
        <v>1442226</v>
      </c>
      <c r="H12">
        <v>1150855</v>
      </c>
      <c r="I12">
        <v>37003370</v>
      </c>
      <c r="J12" t="s">
        <v>133</v>
      </c>
      <c r="K12" t="str">
        <f t="shared" si="0"/>
        <v>737630103</v>
      </c>
      <c r="L12">
        <v>737630103</v>
      </c>
      <c r="M12" t="s">
        <v>134</v>
      </c>
      <c r="N12" t="s">
        <v>110</v>
      </c>
      <c r="O12" t="s">
        <v>111</v>
      </c>
      <c r="P12" t="s">
        <v>111</v>
      </c>
      <c r="Q12" t="s">
        <v>90</v>
      </c>
      <c r="R12" t="s">
        <v>135</v>
      </c>
      <c r="S12" t="s">
        <v>136</v>
      </c>
      <c r="T12" t="s">
        <v>137</v>
      </c>
      <c r="U12">
        <v>2</v>
      </c>
      <c r="V12">
        <v>2</v>
      </c>
      <c r="W12" t="str">
        <f>"2."</f>
        <v>2.</v>
      </c>
      <c r="X12" t="s">
        <v>142</v>
      </c>
      <c r="AA12" t="s">
        <v>94</v>
      </c>
      <c r="AB12" t="s">
        <v>95</v>
      </c>
      <c r="AC12" t="s">
        <v>96</v>
      </c>
      <c r="AD12" t="s">
        <v>123</v>
      </c>
      <c r="AE12" t="s">
        <v>123</v>
      </c>
      <c r="AF12" t="s">
        <v>123</v>
      </c>
      <c r="AN12" t="s">
        <v>123</v>
      </c>
      <c r="AO12" t="str">
        <f>"Concerning pay practices"</f>
        <v>Concerning pay practices</v>
      </c>
      <c r="AP12" t="str">
        <f>"Concerning pay practices"</f>
        <v>Concerning pay practices</v>
      </c>
      <c r="AQ12" t="s">
        <v>139</v>
      </c>
      <c r="AS12">
        <v>607</v>
      </c>
      <c r="AT12" t="s">
        <v>128</v>
      </c>
      <c r="AU12" t="s">
        <v>143</v>
      </c>
      <c r="AV12">
        <v>21486</v>
      </c>
      <c r="AW12">
        <v>21486</v>
      </c>
      <c r="AY12">
        <v>0</v>
      </c>
      <c r="AZ12" t="s">
        <v>92</v>
      </c>
      <c r="BB12">
        <v>497779</v>
      </c>
      <c r="BC12" t="s">
        <v>99</v>
      </c>
      <c r="BD12" s="1">
        <v>46143</v>
      </c>
      <c r="BE12" t="s">
        <v>141</v>
      </c>
      <c r="BG12" t="s">
        <v>100</v>
      </c>
      <c r="BH12" t="str">
        <f t="shared" si="1"/>
        <v>936381069</v>
      </c>
      <c r="BI12" t="s">
        <v>101</v>
      </c>
      <c r="BJ12" t="s">
        <v>102</v>
      </c>
      <c r="BK12" t="s">
        <v>102</v>
      </c>
      <c r="BL12">
        <v>18591498</v>
      </c>
      <c r="BM12">
        <v>46538257</v>
      </c>
      <c r="BN12">
        <v>288471</v>
      </c>
      <c r="BO12">
        <v>0</v>
      </c>
      <c r="BP12">
        <v>0</v>
      </c>
      <c r="BQ12">
        <v>0</v>
      </c>
      <c r="BR12">
        <v>0</v>
      </c>
      <c r="BS12">
        <v>65418226</v>
      </c>
      <c r="BT12">
        <v>28.42</v>
      </c>
      <c r="BU12">
        <v>71.14</v>
      </c>
      <c r="BV12">
        <v>0.44</v>
      </c>
      <c r="BW12">
        <v>0</v>
      </c>
      <c r="BX12">
        <v>0</v>
      </c>
      <c r="BY12">
        <v>0</v>
      </c>
      <c r="BZ12">
        <v>0</v>
      </c>
    </row>
    <row r="13" spans="1:80">
      <c r="A13" t="s">
        <v>146</v>
      </c>
      <c r="B13" t="s">
        <v>129</v>
      </c>
      <c r="C13" t="s">
        <v>130</v>
      </c>
      <c r="D13" t="s">
        <v>131</v>
      </c>
      <c r="E13">
        <v>552</v>
      </c>
      <c r="F13" t="s">
        <v>132</v>
      </c>
      <c r="G13">
        <v>1442226</v>
      </c>
      <c r="H13">
        <v>1150855</v>
      </c>
      <c r="I13">
        <v>37003370</v>
      </c>
      <c r="J13" t="s">
        <v>133</v>
      </c>
      <c r="K13" t="str">
        <f t="shared" si="0"/>
        <v>737630103</v>
      </c>
      <c r="L13">
        <v>737630103</v>
      </c>
      <c r="M13" t="s">
        <v>134</v>
      </c>
      <c r="N13" t="s">
        <v>110</v>
      </c>
      <c r="O13" t="s">
        <v>111</v>
      </c>
      <c r="P13" t="s">
        <v>111</v>
      </c>
      <c r="Q13" t="s">
        <v>90</v>
      </c>
      <c r="R13" t="s">
        <v>135</v>
      </c>
      <c r="S13" t="s">
        <v>136</v>
      </c>
      <c r="T13" t="s">
        <v>137</v>
      </c>
      <c r="U13">
        <v>3</v>
      </c>
      <c r="V13">
        <v>3</v>
      </c>
      <c r="W13" t="str">
        <f>"3."</f>
        <v>3.</v>
      </c>
      <c r="X13" t="s">
        <v>144</v>
      </c>
      <c r="AA13" t="s">
        <v>94</v>
      </c>
      <c r="AB13" t="s">
        <v>95</v>
      </c>
      <c r="AC13" t="s">
        <v>96</v>
      </c>
      <c r="AD13" t="s">
        <v>95</v>
      </c>
      <c r="AE13" t="s">
        <v>95</v>
      </c>
      <c r="AF13" t="s">
        <v>95</v>
      </c>
      <c r="AN13" t="s">
        <v>95</v>
      </c>
      <c r="AQ13" t="s">
        <v>139</v>
      </c>
      <c r="AS13">
        <v>710</v>
      </c>
      <c r="AT13" t="s">
        <v>145</v>
      </c>
      <c r="AU13" t="s">
        <v>144</v>
      </c>
      <c r="AV13">
        <v>21486</v>
      </c>
      <c r="AW13">
        <v>21486</v>
      </c>
      <c r="AY13">
        <v>0</v>
      </c>
      <c r="AZ13" t="s">
        <v>92</v>
      </c>
      <c r="BB13">
        <v>497779</v>
      </c>
      <c r="BC13" t="s">
        <v>99</v>
      </c>
      <c r="BD13" s="1">
        <v>46143</v>
      </c>
      <c r="BE13" t="s">
        <v>141</v>
      </c>
      <c r="BG13" t="s">
        <v>100</v>
      </c>
      <c r="BH13" t="str">
        <f t="shared" si="1"/>
        <v>936381069</v>
      </c>
      <c r="BI13" t="s">
        <v>101</v>
      </c>
      <c r="BJ13" t="s">
        <v>102</v>
      </c>
      <c r="BK13" t="s">
        <v>102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</row>
    <row r="14" spans="1:80">
      <c r="A14" t="s">
        <v>103</v>
      </c>
      <c r="B14" t="s">
        <v>129</v>
      </c>
      <c r="C14" t="s">
        <v>130</v>
      </c>
      <c r="D14" t="s">
        <v>147</v>
      </c>
      <c r="E14">
        <v>4238</v>
      </c>
      <c r="F14" t="s">
        <v>148</v>
      </c>
      <c r="G14">
        <v>1442231</v>
      </c>
      <c r="H14">
        <v>1150856</v>
      </c>
      <c r="I14">
        <v>37004466</v>
      </c>
      <c r="J14" t="s">
        <v>149</v>
      </c>
      <c r="K14" t="str">
        <f>"754907103"</f>
        <v>754907103</v>
      </c>
      <c r="L14">
        <v>754907103</v>
      </c>
      <c r="M14" t="s">
        <v>150</v>
      </c>
      <c r="N14" t="s">
        <v>110</v>
      </c>
      <c r="O14" t="s">
        <v>111</v>
      </c>
      <c r="P14" t="s">
        <v>111</v>
      </c>
      <c r="Q14" t="s">
        <v>90</v>
      </c>
      <c r="R14" t="s">
        <v>135</v>
      </c>
      <c r="S14" t="s">
        <v>136</v>
      </c>
      <c r="T14" t="s">
        <v>137</v>
      </c>
      <c r="U14">
        <v>1</v>
      </c>
      <c r="V14">
        <v>1</v>
      </c>
      <c r="W14" t="str">
        <f>"1."</f>
        <v>1.</v>
      </c>
      <c r="X14" t="s">
        <v>151</v>
      </c>
      <c r="AA14" t="s">
        <v>94</v>
      </c>
      <c r="AB14" t="s">
        <v>95</v>
      </c>
      <c r="AC14" t="s">
        <v>96</v>
      </c>
      <c r="AD14" t="s">
        <v>95</v>
      </c>
      <c r="AE14" t="s">
        <v>95</v>
      </c>
      <c r="AF14" t="s">
        <v>95</v>
      </c>
      <c r="AN14" t="s">
        <v>95</v>
      </c>
      <c r="AQ14" t="s">
        <v>139</v>
      </c>
      <c r="AS14">
        <v>1200</v>
      </c>
      <c r="AT14" t="s">
        <v>140</v>
      </c>
      <c r="AU14" t="s">
        <v>138</v>
      </c>
      <c r="AV14">
        <v>29048</v>
      </c>
      <c r="AW14">
        <v>29048</v>
      </c>
      <c r="AY14">
        <v>0</v>
      </c>
      <c r="AZ14" t="s">
        <v>97</v>
      </c>
      <c r="BB14">
        <v>497865</v>
      </c>
      <c r="BC14" t="s">
        <v>99</v>
      </c>
      <c r="BD14" s="1">
        <v>46143</v>
      </c>
      <c r="BE14" t="s">
        <v>141</v>
      </c>
      <c r="BG14" t="s">
        <v>100</v>
      </c>
      <c r="BH14" t="str">
        <f>"936381071"</f>
        <v>936381071</v>
      </c>
      <c r="BI14" t="s">
        <v>101</v>
      </c>
      <c r="BJ14" t="s">
        <v>102</v>
      </c>
      <c r="BK14" t="s">
        <v>102</v>
      </c>
      <c r="BL14">
        <v>133500334</v>
      </c>
      <c r="BM14">
        <v>8093259</v>
      </c>
      <c r="BN14">
        <v>280592</v>
      </c>
      <c r="BO14">
        <v>0</v>
      </c>
      <c r="BP14">
        <v>0</v>
      </c>
      <c r="BQ14">
        <v>0</v>
      </c>
      <c r="BR14">
        <v>0</v>
      </c>
      <c r="BS14">
        <v>141874185</v>
      </c>
      <c r="BT14">
        <v>94.1</v>
      </c>
      <c r="BU14">
        <v>5.7</v>
      </c>
      <c r="BV14">
        <v>0.2</v>
      </c>
      <c r="BW14">
        <v>0</v>
      </c>
      <c r="BX14">
        <v>0</v>
      </c>
      <c r="BY14">
        <v>0</v>
      </c>
      <c r="BZ14">
        <v>0</v>
      </c>
    </row>
    <row r="15" spans="1:80">
      <c r="A15" t="s">
        <v>103</v>
      </c>
      <c r="B15" t="s">
        <v>129</v>
      </c>
      <c r="C15" t="s">
        <v>130</v>
      </c>
      <c r="D15" t="s">
        <v>147</v>
      </c>
      <c r="E15">
        <v>4238</v>
      </c>
      <c r="F15" t="s">
        <v>148</v>
      </c>
      <c r="G15">
        <v>1442231</v>
      </c>
      <c r="H15">
        <v>1150856</v>
      </c>
      <c r="I15">
        <v>37004466</v>
      </c>
      <c r="J15" t="s">
        <v>149</v>
      </c>
      <c r="K15" t="str">
        <f>"754907103"</f>
        <v>754907103</v>
      </c>
      <c r="L15">
        <v>754907103</v>
      </c>
      <c r="M15" t="s">
        <v>150</v>
      </c>
      <c r="N15" t="s">
        <v>110</v>
      </c>
      <c r="O15" t="s">
        <v>111</v>
      </c>
      <c r="P15" t="s">
        <v>111</v>
      </c>
      <c r="Q15" t="s">
        <v>90</v>
      </c>
      <c r="R15" t="s">
        <v>135</v>
      </c>
      <c r="S15" t="s">
        <v>136</v>
      </c>
      <c r="T15" t="s">
        <v>137</v>
      </c>
      <c r="U15">
        <v>2</v>
      </c>
      <c r="V15">
        <v>2</v>
      </c>
      <c r="W15" t="str">
        <f>"2."</f>
        <v>2.</v>
      </c>
      <c r="X15" t="s">
        <v>144</v>
      </c>
      <c r="AA15" t="s">
        <v>94</v>
      </c>
      <c r="AB15" t="s">
        <v>95</v>
      </c>
      <c r="AC15" t="s">
        <v>96</v>
      </c>
      <c r="AD15" t="s">
        <v>95</v>
      </c>
      <c r="AE15" t="s">
        <v>95</v>
      </c>
      <c r="AF15" t="s">
        <v>95</v>
      </c>
      <c r="AN15" t="s">
        <v>95</v>
      </c>
      <c r="AQ15" t="s">
        <v>139</v>
      </c>
      <c r="AS15">
        <v>710</v>
      </c>
      <c r="AT15" t="s">
        <v>145</v>
      </c>
      <c r="AU15" t="s">
        <v>144</v>
      </c>
      <c r="AV15">
        <v>29048</v>
      </c>
      <c r="AW15">
        <v>29048</v>
      </c>
      <c r="AY15">
        <v>0</v>
      </c>
      <c r="AZ15" t="s">
        <v>97</v>
      </c>
      <c r="BB15">
        <v>497865</v>
      </c>
      <c r="BC15" t="s">
        <v>99</v>
      </c>
      <c r="BD15" s="1">
        <v>46143</v>
      </c>
      <c r="BE15" t="s">
        <v>141</v>
      </c>
      <c r="BG15" t="s">
        <v>100</v>
      </c>
      <c r="BH15" t="str">
        <f>"936381071"</f>
        <v>936381071</v>
      </c>
      <c r="BI15" t="s">
        <v>101</v>
      </c>
      <c r="BJ15" t="s">
        <v>102</v>
      </c>
      <c r="BK15" t="s">
        <v>102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</row>
    <row r="16" spans="1:80">
      <c r="A16" t="s">
        <v>152</v>
      </c>
      <c r="B16" t="s">
        <v>153</v>
      </c>
      <c r="C16" t="s">
        <v>154</v>
      </c>
      <c r="D16" t="s">
        <v>155</v>
      </c>
      <c r="E16">
        <v>40631</v>
      </c>
      <c r="F16" t="s">
        <v>156</v>
      </c>
      <c r="G16">
        <v>1447238</v>
      </c>
      <c r="H16">
        <v>1147911</v>
      </c>
      <c r="I16">
        <v>37101196</v>
      </c>
      <c r="J16">
        <v>419872</v>
      </c>
      <c r="L16" t="s">
        <v>157</v>
      </c>
      <c r="M16" t="s">
        <v>158</v>
      </c>
      <c r="N16" t="s">
        <v>87</v>
      </c>
      <c r="O16" t="s">
        <v>159</v>
      </c>
      <c r="P16" t="s">
        <v>159</v>
      </c>
      <c r="Q16" t="s">
        <v>112</v>
      </c>
      <c r="R16" s="1">
        <v>46144</v>
      </c>
      <c r="S16" t="s">
        <v>160</v>
      </c>
      <c r="T16" t="s">
        <v>137</v>
      </c>
      <c r="U16">
        <v>3</v>
      </c>
      <c r="V16">
        <v>1</v>
      </c>
      <c r="W16" t="str">
        <f>"2"</f>
        <v>2</v>
      </c>
      <c r="X16" t="s">
        <v>161</v>
      </c>
      <c r="AA16" t="s">
        <v>94</v>
      </c>
      <c r="AB16" t="s">
        <v>95</v>
      </c>
      <c r="AC16" t="s">
        <v>96</v>
      </c>
      <c r="AD16" t="s">
        <v>95</v>
      </c>
      <c r="AE16" t="s">
        <v>95</v>
      </c>
      <c r="AF16" t="s">
        <v>95</v>
      </c>
      <c r="AN16" t="s">
        <v>95</v>
      </c>
      <c r="AQ16" s="1">
        <v>46055</v>
      </c>
      <c r="AS16">
        <v>5000</v>
      </c>
      <c r="AT16" t="s">
        <v>126</v>
      </c>
      <c r="AU16" t="s">
        <v>162</v>
      </c>
      <c r="AV16">
        <v>4882</v>
      </c>
      <c r="AW16">
        <v>4882</v>
      </c>
      <c r="AX16">
        <v>4882</v>
      </c>
      <c r="AY16">
        <v>0</v>
      </c>
      <c r="AZ16" t="s">
        <v>113</v>
      </c>
      <c r="BB16">
        <v>494263</v>
      </c>
      <c r="BC16" t="s">
        <v>99</v>
      </c>
      <c r="BD16" s="1">
        <v>46174</v>
      </c>
      <c r="BE16" t="s">
        <v>141</v>
      </c>
      <c r="BG16" t="s">
        <v>100</v>
      </c>
      <c r="BH16" t="str">
        <f t="shared" ref="BH16:BH47" si="2">"720746049"</f>
        <v>720746049</v>
      </c>
      <c r="BI16" t="s">
        <v>101</v>
      </c>
      <c r="BJ16" t="s">
        <v>102</v>
      </c>
      <c r="BK16" t="s">
        <v>102</v>
      </c>
      <c r="BL16">
        <v>950373959</v>
      </c>
      <c r="BM16">
        <v>741113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951115072</v>
      </c>
      <c r="BT16">
        <v>99.92</v>
      </c>
      <c r="BU16">
        <v>0.08</v>
      </c>
      <c r="BV16">
        <v>0</v>
      </c>
      <c r="BW16">
        <v>0</v>
      </c>
      <c r="BX16">
        <v>0</v>
      </c>
      <c r="BY16">
        <v>0</v>
      </c>
      <c r="BZ16">
        <v>0</v>
      </c>
    </row>
    <row r="17" spans="1:78">
      <c r="A17" t="s">
        <v>152</v>
      </c>
      <c r="B17" t="s">
        <v>153</v>
      </c>
      <c r="C17" t="s">
        <v>154</v>
      </c>
      <c r="D17" t="s">
        <v>155</v>
      </c>
      <c r="E17">
        <v>40631</v>
      </c>
      <c r="F17" t="s">
        <v>156</v>
      </c>
      <c r="G17">
        <v>1447238</v>
      </c>
      <c r="H17">
        <v>1147911</v>
      </c>
      <c r="I17">
        <v>37101196</v>
      </c>
      <c r="J17">
        <v>419872</v>
      </c>
      <c r="L17" t="s">
        <v>157</v>
      </c>
      <c r="M17" t="s">
        <v>158</v>
      </c>
      <c r="N17" t="s">
        <v>87</v>
      </c>
      <c r="O17" t="s">
        <v>159</v>
      </c>
      <c r="P17" t="s">
        <v>159</v>
      </c>
      <c r="Q17" t="s">
        <v>112</v>
      </c>
      <c r="R17" s="1">
        <v>46144</v>
      </c>
      <c r="S17" t="s">
        <v>160</v>
      </c>
      <c r="T17" t="s">
        <v>137</v>
      </c>
      <c r="U17">
        <v>4</v>
      </c>
      <c r="V17">
        <v>2</v>
      </c>
      <c r="W17" t="str">
        <f>"3.1"</f>
        <v>3.1</v>
      </c>
      <c r="X17" t="s">
        <v>163</v>
      </c>
      <c r="AA17" t="s">
        <v>94</v>
      </c>
      <c r="AB17" t="s">
        <v>95</v>
      </c>
      <c r="AC17" t="s">
        <v>96</v>
      </c>
      <c r="AD17" t="s">
        <v>95</v>
      </c>
      <c r="AE17" t="s">
        <v>95</v>
      </c>
      <c r="AF17" t="s">
        <v>95</v>
      </c>
      <c r="AN17" t="s">
        <v>95</v>
      </c>
      <c r="AQ17" s="1">
        <v>46055</v>
      </c>
      <c r="AS17">
        <v>5720</v>
      </c>
      <c r="AT17" t="s">
        <v>117</v>
      </c>
      <c r="AU17" t="s">
        <v>164</v>
      </c>
      <c r="AV17">
        <v>4882</v>
      </c>
      <c r="AW17">
        <v>4882</v>
      </c>
      <c r="AX17">
        <v>4882</v>
      </c>
      <c r="AY17">
        <v>0</v>
      </c>
      <c r="AZ17" t="s">
        <v>113</v>
      </c>
      <c r="BB17">
        <v>494263</v>
      </c>
      <c r="BC17" t="s">
        <v>99</v>
      </c>
      <c r="BD17" s="1">
        <v>46174</v>
      </c>
      <c r="BE17" t="s">
        <v>141</v>
      </c>
      <c r="BG17" t="s">
        <v>100</v>
      </c>
      <c r="BH17" t="str">
        <f t="shared" si="2"/>
        <v>720746049</v>
      </c>
      <c r="BI17" t="s">
        <v>101</v>
      </c>
      <c r="BJ17" t="s">
        <v>102</v>
      </c>
      <c r="BK17" t="s">
        <v>102</v>
      </c>
      <c r="BL17">
        <v>948884806</v>
      </c>
      <c r="BM17">
        <v>807905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949692711</v>
      </c>
      <c r="BT17">
        <v>99.91</v>
      </c>
      <c r="BU17">
        <v>0.09</v>
      </c>
      <c r="BV17">
        <v>0</v>
      </c>
      <c r="BW17">
        <v>0</v>
      </c>
      <c r="BX17">
        <v>0</v>
      </c>
      <c r="BY17">
        <v>0</v>
      </c>
      <c r="BZ17">
        <v>0</v>
      </c>
    </row>
    <row r="18" spans="1:78">
      <c r="A18" t="s">
        <v>152</v>
      </c>
      <c r="B18" t="s">
        <v>153</v>
      </c>
      <c r="C18" t="s">
        <v>154</v>
      </c>
      <c r="D18" t="s">
        <v>155</v>
      </c>
      <c r="E18">
        <v>40631</v>
      </c>
      <c r="F18" t="s">
        <v>156</v>
      </c>
      <c r="G18">
        <v>1447238</v>
      </c>
      <c r="H18">
        <v>1147911</v>
      </c>
      <c r="I18">
        <v>37101196</v>
      </c>
      <c r="J18">
        <v>419872</v>
      </c>
      <c r="L18" t="s">
        <v>157</v>
      </c>
      <c r="M18" t="s">
        <v>158</v>
      </c>
      <c r="N18" t="s">
        <v>87</v>
      </c>
      <c r="O18" t="s">
        <v>159</v>
      </c>
      <c r="P18" t="s">
        <v>159</v>
      </c>
      <c r="Q18" t="s">
        <v>112</v>
      </c>
      <c r="R18" s="1">
        <v>46144</v>
      </c>
      <c r="S18" t="s">
        <v>160</v>
      </c>
      <c r="T18" t="s">
        <v>137</v>
      </c>
      <c r="U18">
        <v>5</v>
      </c>
      <c r="V18">
        <v>3</v>
      </c>
      <c r="W18" t="str">
        <f>"3.2"</f>
        <v>3.2</v>
      </c>
      <c r="X18" t="s">
        <v>165</v>
      </c>
      <c r="AA18" t="s">
        <v>94</v>
      </c>
      <c r="AB18" t="s">
        <v>95</v>
      </c>
      <c r="AC18" t="s">
        <v>96</v>
      </c>
      <c r="AD18" t="s">
        <v>95</v>
      </c>
      <c r="AE18" t="s">
        <v>95</v>
      </c>
      <c r="AF18" t="s">
        <v>95</v>
      </c>
      <c r="AN18" t="s">
        <v>95</v>
      </c>
      <c r="AQ18" s="1">
        <v>46055</v>
      </c>
      <c r="AS18">
        <v>5720</v>
      </c>
      <c r="AT18" t="s">
        <v>117</v>
      </c>
      <c r="AU18" t="s">
        <v>164</v>
      </c>
      <c r="AV18">
        <v>4882</v>
      </c>
      <c r="AW18">
        <v>4882</v>
      </c>
      <c r="AX18">
        <v>4882</v>
      </c>
      <c r="AY18">
        <v>0</v>
      </c>
      <c r="AZ18" t="s">
        <v>113</v>
      </c>
      <c r="BB18">
        <v>494263</v>
      </c>
      <c r="BC18" t="s">
        <v>99</v>
      </c>
      <c r="BD18" s="1">
        <v>46174</v>
      </c>
      <c r="BE18" t="s">
        <v>141</v>
      </c>
      <c r="BG18" t="s">
        <v>100</v>
      </c>
      <c r="BH18" t="str">
        <f t="shared" si="2"/>
        <v>720746049</v>
      </c>
      <c r="BI18" t="s">
        <v>101</v>
      </c>
      <c r="BJ18" t="s">
        <v>102</v>
      </c>
      <c r="BK18" t="s">
        <v>102</v>
      </c>
      <c r="BL18">
        <v>948903203</v>
      </c>
      <c r="BM18">
        <v>800089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949703292</v>
      </c>
      <c r="BT18">
        <v>99.92</v>
      </c>
      <c r="BU18">
        <v>0.08</v>
      </c>
      <c r="BV18">
        <v>0</v>
      </c>
      <c r="BW18">
        <v>0</v>
      </c>
      <c r="BX18">
        <v>0</v>
      </c>
      <c r="BY18">
        <v>0</v>
      </c>
      <c r="BZ18">
        <v>0</v>
      </c>
    </row>
    <row r="19" spans="1:78">
      <c r="A19" t="s">
        <v>152</v>
      </c>
      <c r="B19" t="s">
        <v>153</v>
      </c>
      <c r="C19" t="s">
        <v>154</v>
      </c>
      <c r="D19" t="s">
        <v>155</v>
      </c>
      <c r="E19">
        <v>40631</v>
      </c>
      <c r="F19" t="s">
        <v>156</v>
      </c>
      <c r="G19">
        <v>1447238</v>
      </c>
      <c r="H19">
        <v>1147911</v>
      </c>
      <c r="I19">
        <v>37101196</v>
      </c>
      <c r="J19">
        <v>419872</v>
      </c>
      <c r="L19" t="s">
        <v>157</v>
      </c>
      <c r="M19" t="s">
        <v>158</v>
      </c>
      <c r="N19" t="s">
        <v>87</v>
      </c>
      <c r="O19" t="s">
        <v>159</v>
      </c>
      <c r="P19" t="s">
        <v>159</v>
      </c>
      <c r="Q19" t="s">
        <v>112</v>
      </c>
      <c r="R19" s="1">
        <v>46144</v>
      </c>
      <c r="S19" t="s">
        <v>160</v>
      </c>
      <c r="T19" t="s">
        <v>137</v>
      </c>
      <c r="U19">
        <v>6</v>
      </c>
      <c r="V19">
        <v>4</v>
      </c>
      <c r="W19" t="str">
        <f>"3.3"</f>
        <v>3.3</v>
      </c>
      <c r="X19" t="s">
        <v>166</v>
      </c>
      <c r="AA19" t="s">
        <v>94</v>
      </c>
      <c r="AB19" t="s">
        <v>95</v>
      </c>
      <c r="AC19" t="s">
        <v>96</v>
      </c>
      <c r="AD19" t="s">
        <v>95</v>
      </c>
      <c r="AE19" t="s">
        <v>95</v>
      </c>
      <c r="AF19" t="s">
        <v>95</v>
      </c>
      <c r="AN19" t="s">
        <v>95</v>
      </c>
      <c r="AQ19" s="1">
        <v>46055</v>
      </c>
      <c r="AS19">
        <v>5720</v>
      </c>
      <c r="AT19" t="s">
        <v>117</v>
      </c>
      <c r="AU19" t="s">
        <v>164</v>
      </c>
      <c r="AV19">
        <v>4882</v>
      </c>
      <c r="AW19">
        <v>4882</v>
      </c>
      <c r="AX19">
        <v>4882</v>
      </c>
      <c r="AY19">
        <v>0</v>
      </c>
      <c r="AZ19" t="s">
        <v>113</v>
      </c>
      <c r="BB19">
        <v>494263</v>
      </c>
      <c r="BC19" t="s">
        <v>99</v>
      </c>
      <c r="BD19" s="1">
        <v>46174</v>
      </c>
      <c r="BE19" t="s">
        <v>141</v>
      </c>
      <c r="BG19" t="s">
        <v>100</v>
      </c>
      <c r="BH19" t="str">
        <f t="shared" si="2"/>
        <v>720746049</v>
      </c>
      <c r="BI19" t="s">
        <v>101</v>
      </c>
      <c r="BJ19" t="s">
        <v>102</v>
      </c>
      <c r="BK19" t="s">
        <v>102</v>
      </c>
      <c r="BL19">
        <v>948975010</v>
      </c>
      <c r="BM19">
        <v>812901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949787911</v>
      </c>
      <c r="BT19">
        <v>99.91</v>
      </c>
      <c r="BU19">
        <v>0.09</v>
      </c>
      <c r="BV19">
        <v>0</v>
      </c>
      <c r="BW19">
        <v>0</v>
      </c>
      <c r="BX19">
        <v>0</v>
      </c>
      <c r="BY19">
        <v>0</v>
      </c>
      <c r="BZ19">
        <v>0</v>
      </c>
    </row>
    <row r="20" spans="1:78">
      <c r="A20" t="s">
        <v>152</v>
      </c>
      <c r="B20" t="s">
        <v>153</v>
      </c>
      <c r="C20" t="s">
        <v>154</v>
      </c>
      <c r="D20" t="s">
        <v>155</v>
      </c>
      <c r="E20">
        <v>40631</v>
      </c>
      <c r="F20" t="s">
        <v>156</v>
      </c>
      <c r="G20">
        <v>1447238</v>
      </c>
      <c r="H20">
        <v>1147911</v>
      </c>
      <c r="I20">
        <v>37101196</v>
      </c>
      <c r="J20">
        <v>419872</v>
      </c>
      <c r="L20" t="s">
        <v>157</v>
      </c>
      <c r="M20" t="s">
        <v>158</v>
      </c>
      <c r="N20" t="s">
        <v>87</v>
      </c>
      <c r="O20" t="s">
        <v>159</v>
      </c>
      <c r="P20" t="s">
        <v>159</v>
      </c>
      <c r="Q20" t="s">
        <v>112</v>
      </c>
      <c r="R20" s="1">
        <v>46144</v>
      </c>
      <c r="S20" t="s">
        <v>160</v>
      </c>
      <c r="T20" t="s">
        <v>137</v>
      </c>
      <c r="U20">
        <v>7</v>
      </c>
      <c r="V20">
        <v>5</v>
      </c>
      <c r="W20" t="str">
        <f>"3.4"</f>
        <v>3.4</v>
      </c>
      <c r="X20" t="s">
        <v>167</v>
      </c>
      <c r="AA20" t="s">
        <v>94</v>
      </c>
      <c r="AB20" t="s">
        <v>95</v>
      </c>
      <c r="AC20" t="s">
        <v>96</v>
      </c>
      <c r="AD20" t="s">
        <v>95</v>
      </c>
      <c r="AE20" t="s">
        <v>95</v>
      </c>
      <c r="AF20" t="s">
        <v>95</v>
      </c>
      <c r="AN20" t="s">
        <v>95</v>
      </c>
      <c r="AQ20" s="1">
        <v>46055</v>
      </c>
      <c r="AS20">
        <v>5720</v>
      </c>
      <c r="AT20" t="s">
        <v>117</v>
      </c>
      <c r="AU20" t="s">
        <v>164</v>
      </c>
      <c r="AV20">
        <v>4882</v>
      </c>
      <c r="AW20">
        <v>4882</v>
      </c>
      <c r="AX20">
        <v>4882</v>
      </c>
      <c r="AY20">
        <v>0</v>
      </c>
      <c r="AZ20" t="s">
        <v>113</v>
      </c>
      <c r="BB20">
        <v>494263</v>
      </c>
      <c r="BC20" t="s">
        <v>99</v>
      </c>
      <c r="BD20" s="1">
        <v>46174</v>
      </c>
      <c r="BE20" t="s">
        <v>141</v>
      </c>
      <c r="BG20" t="s">
        <v>100</v>
      </c>
      <c r="BH20" t="str">
        <f t="shared" si="2"/>
        <v>720746049</v>
      </c>
      <c r="BI20" t="s">
        <v>101</v>
      </c>
      <c r="BJ20" t="s">
        <v>102</v>
      </c>
      <c r="BK20" t="s">
        <v>102</v>
      </c>
      <c r="BL20">
        <v>948993338</v>
      </c>
      <c r="BM20">
        <v>800405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949793743</v>
      </c>
      <c r="BT20">
        <v>99.92</v>
      </c>
      <c r="BU20">
        <v>0.08</v>
      </c>
      <c r="BV20">
        <v>0</v>
      </c>
      <c r="BW20">
        <v>0</v>
      </c>
      <c r="BX20">
        <v>0</v>
      </c>
      <c r="BY20">
        <v>0</v>
      </c>
      <c r="BZ20">
        <v>0</v>
      </c>
    </row>
    <row r="21" spans="1:78">
      <c r="A21" t="s">
        <v>152</v>
      </c>
      <c r="B21" t="s">
        <v>153</v>
      </c>
      <c r="C21" t="s">
        <v>154</v>
      </c>
      <c r="D21" t="s">
        <v>155</v>
      </c>
      <c r="E21">
        <v>40631</v>
      </c>
      <c r="F21" t="s">
        <v>156</v>
      </c>
      <c r="G21">
        <v>1447238</v>
      </c>
      <c r="H21">
        <v>1147911</v>
      </c>
      <c r="I21">
        <v>37101196</v>
      </c>
      <c r="J21">
        <v>419872</v>
      </c>
      <c r="L21" t="s">
        <v>157</v>
      </c>
      <c r="M21" t="s">
        <v>158</v>
      </c>
      <c r="N21" t="s">
        <v>87</v>
      </c>
      <c r="O21" t="s">
        <v>159</v>
      </c>
      <c r="P21" t="s">
        <v>159</v>
      </c>
      <c r="Q21" t="s">
        <v>112</v>
      </c>
      <c r="R21" s="1">
        <v>46144</v>
      </c>
      <c r="S21" t="s">
        <v>160</v>
      </c>
      <c r="T21" t="s">
        <v>137</v>
      </c>
      <c r="U21">
        <v>8</v>
      </c>
      <c r="V21">
        <v>6</v>
      </c>
      <c r="W21" t="str">
        <f>"4.1"</f>
        <v>4.1</v>
      </c>
      <c r="X21" t="s">
        <v>168</v>
      </c>
      <c r="AA21" t="s">
        <v>94</v>
      </c>
      <c r="AB21" t="s">
        <v>95</v>
      </c>
      <c r="AC21" t="s">
        <v>96</v>
      </c>
      <c r="AD21" t="s">
        <v>95</v>
      </c>
      <c r="AE21" t="s">
        <v>95</v>
      </c>
      <c r="AF21" t="s">
        <v>123</v>
      </c>
      <c r="AN21" t="s">
        <v>123</v>
      </c>
      <c r="AO21" t="str">
        <f>"Company does not have &gt;50% independent directors; Board committees do not consist of a majority of independent non-executive directors; Frequency of director election &gt;2yrs"</f>
        <v>Company does not have &gt;50% independent directors; Board committees do not consist of a majority of independent non-executive directors; Frequency of director election &gt;2yrs</v>
      </c>
      <c r="AQ21" s="1">
        <v>46055</v>
      </c>
      <c r="AS21">
        <v>5700</v>
      </c>
      <c r="AT21" t="s">
        <v>117</v>
      </c>
      <c r="AU21" t="s">
        <v>169</v>
      </c>
      <c r="AV21">
        <v>4882</v>
      </c>
      <c r="AW21">
        <v>4882</v>
      </c>
      <c r="AX21">
        <v>4882</v>
      </c>
      <c r="AY21">
        <v>0</v>
      </c>
      <c r="AZ21" t="s">
        <v>113</v>
      </c>
      <c r="BB21">
        <v>494263</v>
      </c>
      <c r="BC21" t="s">
        <v>99</v>
      </c>
      <c r="BD21" s="1">
        <v>46174</v>
      </c>
      <c r="BE21" t="s">
        <v>141</v>
      </c>
      <c r="BG21" t="s">
        <v>100</v>
      </c>
      <c r="BH21" t="str">
        <f t="shared" si="2"/>
        <v>720746049</v>
      </c>
      <c r="BI21" t="s">
        <v>101</v>
      </c>
      <c r="BJ21" t="s">
        <v>123</v>
      </c>
      <c r="BK21" t="s">
        <v>123</v>
      </c>
      <c r="BL21">
        <v>932044282</v>
      </c>
      <c r="BM21">
        <v>14315674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946359956</v>
      </c>
      <c r="BT21">
        <v>98.49</v>
      </c>
      <c r="BU21">
        <v>1.51</v>
      </c>
      <c r="BV21">
        <v>0</v>
      </c>
      <c r="BW21">
        <v>0</v>
      </c>
      <c r="BX21">
        <v>0</v>
      </c>
      <c r="BY21">
        <v>0</v>
      </c>
      <c r="BZ21">
        <v>0</v>
      </c>
    </row>
    <row r="22" spans="1:78">
      <c r="A22" t="s">
        <v>152</v>
      </c>
      <c r="B22" t="s">
        <v>153</v>
      </c>
      <c r="C22" t="s">
        <v>154</v>
      </c>
      <c r="D22" t="s">
        <v>155</v>
      </c>
      <c r="E22">
        <v>40631</v>
      </c>
      <c r="F22" t="s">
        <v>156</v>
      </c>
      <c r="G22">
        <v>1447238</v>
      </c>
      <c r="H22">
        <v>1147911</v>
      </c>
      <c r="I22">
        <v>37101196</v>
      </c>
      <c r="J22">
        <v>419872</v>
      </c>
      <c r="L22" t="s">
        <v>157</v>
      </c>
      <c r="M22" t="s">
        <v>158</v>
      </c>
      <c r="N22" t="s">
        <v>87</v>
      </c>
      <c r="O22" t="s">
        <v>159</v>
      </c>
      <c r="P22" t="s">
        <v>159</v>
      </c>
      <c r="Q22" t="s">
        <v>112</v>
      </c>
      <c r="R22" s="1">
        <v>46144</v>
      </c>
      <c r="S22" t="s">
        <v>160</v>
      </c>
      <c r="T22" t="s">
        <v>137</v>
      </c>
      <c r="U22">
        <v>9</v>
      </c>
      <c r="V22">
        <v>7</v>
      </c>
      <c r="W22" t="str">
        <f>"4.2"</f>
        <v>4.2</v>
      </c>
      <c r="X22" t="s">
        <v>170</v>
      </c>
      <c r="AA22" t="s">
        <v>94</v>
      </c>
      <c r="AB22" t="s">
        <v>95</v>
      </c>
      <c r="AC22" t="s">
        <v>96</v>
      </c>
      <c r="AD22" t="s">
        <v>95</v>
      </c>
      <c r="AE22" t="s">
        <v>95</v>
      </c>
      <c r="AF22" t="s">
        <v>95</v>
      </c>
      <c r="AN22" t="s">
        <v>95</v>
      </c>
      <c r="AQ22" s="1">
        <v>46055</v>
      </c>
      <c r="AS22">
        <v>5700</v>
      </c>
      <c r="AT22" t="s">
        <v>117</v>
      </c>
      <c r="AU22" t="s">
        <v>169</v>
      </c>
      <c r="AV22">
        <v>4882</v>
      </c>
      <c r="AW22">
        <v>4882</v>
      </c>
      <c r="AX22">
        <v>4882</v>
      </c>
      <c r="AY22">
        <v>0</v>
      </c>
      <c r="AZ22" t="s">
        <v>113</v>
      </c>
      <c r="BB22">
        <v>494263</v>
      </c>
      <c r="BC22" t="s">
        <v>99</v>
      </c>
      <c r="BD22" s="1">
        <v>46174</v>
      </c>
      <c r="BE22" t="s">
        <v>141</v>
      </c>
      <c r="BG22" t="s">
        <v>100</v>
      </c>
      <c r="BH22" t="str">
        <f t="shared" si="2"/>
        <v>720746049</v>
      </c>
      <c r="BI22" t="s">
        <v>101</v>
      </c>
      <c r="BJ22" t="s">
        <v>102</v>
      </c>
      <c r="BK22" t="s">
        <v>102</v>
      </c>
      <c r="BL22">
        <v>939152505</v>
      </c>
      <c r="BM22">
        <v>7243399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946395904</v>
      </c>
      <c r="BT22">
        <v>99.23</v>
      </c>
      <c r="BU22">
        <v>0.77</v>
      </c>
      <c r="BV22">
        <v>0</v>
      </c>
      <c r="BW22">
        <v>0</v>
      </c>
      <c r="BX22">
        <v>0</v>
      </c>
      <c r="BY22">
        <v>0</v>
      </c>
      <c r="BZ22">
        <v>0</v>
      </c>
    </row>
    <row r="23" spans="1:78">
      <c r="A23" t="s">
        <v>152</v>
      </c>
      <c r="B23" t="s">
        <v>153</v>
      </c>
      <c r="C23" t="s">
        <v>154</v>
      </c>
      <c r="D23" t="s">
        <v>155</v>
      </c>
      <c r="E23">
        <v>40631</v>
      </c>
      <c r="F23" t="s">
        <v>156</v>
      </c>
      <c r="G23">
        <v>1447238</v>
      </c>
      <c r="H23">
        <v>1147911</v>
      </c>
      <c r="I23">
        <v>37101196</v>
      </c>
      <c r="J23">
        <v>419872</v>
      </c>
      <c r="L23" t="s">
        <v>157</v>
      </c>
      <c r="M23" t="s">
        <v>158</v>
      </c>
      <c r="N23" t="s">
        <v>87</v>
      </c>
      <c r="O23" t="s">
        <v>159</v>
      </c>
      <c r="P23" t="s">
        <v>159</v>
      </c>
      <c r="Q23" t="s">
        <v>112</v>
      </c>
      <c r="R23" s="1">
        <v>46144</v>
      </c>
      <c r="S23" t="s">
        <v>160</v>
      </c>
      <c r="T23" t="s">
        <v>137</v>
      </c>
      <c r="U23">
        <v>10</v>
      </c>
      <c r="V23">
        <v>8</v>
      </c>
      <c r="W23" t="str">
        <f>"4.3"</f>
        <v>4.3</v>
      </c>
      <c r="X23" t="s">
        <v>171</v>
      </c>
      <c r="AA23" t="s">
        <v>94</v>
      </c>
      <c r="AB23" t="s">
        <v>95</v>
      </c>
      <c r="AC23" t="s">
        <v>96</v>
      </c>
      <c r="AD23" t="s">
        <v>95</v>
      </c>
      <c r="AE23" t="s">
        <v>95</v>
      </c>
      <c r="AF23" t="s">
        <v>95</v>
      </c>
      <c r="AN23" t="s">
        <v>95</v>
      </c>
      <c r="AQ23" s="1">
        <v>46055</v>
      </c>
      <c r="AS23">
        <v>5700</v>
      </c>
      <c r="AT23" t="s">
        <v>117</v>
      </c>
      <c r="AU23" t="s">
        <v>169</v>
      </c>
      <c r="AV23">
        <v>4882</v>
      </c>
      <c r="AW23">
        <v>4882</v>
      </c>
      <c r="AX23">
        <v>4882</v>
      </c>
      <c r="AY23">
        <v>0</v>
      </c>
      <c r="AZ23" t="s">
        <v>113</v>
      </c>
      <c r="BB23">
        <v>494263</v>
      </c>
      <c r="BC23" t="s">
        <v>99</v>
      </c>
      <c r="BD23" s="1">
        <v>46174</v>
      </c>
      <c r="BE23" t="s">
        <v>141</v>
      </c>
      <c r="BG23" t="s">
        <v>100</v>
      </c>
      <c r="BH23" t="str">
        <f t="shared" si="2"/>
        <v>720746049</v>
      </c>
      <c r="BI23" t="s">
        <v>101</v>
      </c>
      <c r="BJ23" t="s">
        <v>102</v>
      </c>
      <c r="BK23" t="s">
        <v>102</v>
      </c>
      <c r="BL23">
        <v>939140811</v>
      </c>
      <c r="BM23">
        <v>7242534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946383345</v>
      </c>
      <c r="BT23">
        <v>99.23</v>
      </c>
      <c r="BU23">
        <v>0.77</v>
      </c>
      <c r="BV23">
        <v>0</v>
      </c>
      <c r="BW23">
        <v>0</v>
      </c>
      <c r="BX23">
        <v>0</v>
      </c>
      <c r="BY23">
        <v>0</v>
      </c>
      <c r="BZ23">
        <v>0</v>
      </c>
    </row>
    <row r="24" spans="1:78">
      <c r="A24" t="s">
        <v>152</v>
      </c>
      <c r="B24" t="s">
        <v>153</v>
      </c>
      <c r="C24" t="s">
        <v>154</v>
      </c>
      <c r="D24" t="s">
        <v>155</v>
      </c>
      <c r="E24">
        <v>40631</v>
      </c>
      <c r="F24" t="s">
        <v>156</v>
      </c>
      <c r="G24">
        <v>1447238</v>
      </c>
      <c r="H24">
        <v>1147911</v>
      </c>
      <c r="I24">
        <v>37101196</v>
      </c>
      <c r="J24">
        <v>419872</v>
      </c>
      <c r="L24" t="s">
        <v>157</v>
      </c>
      <c r="M24" t="s">
        <v>158</v>
      </c>
      <c r="N24" t="s">
        <v>87</v>
      </c>
      <c r="O24" t="s">
        <v>159</v>
      </c>
      <c r="P24" t="s">
        <v>159</v>
      </c>
      <c r="Q24" t="s">
        <v>112</v>
      </c>
      <c r="R24" s="1">
        <v>46144</v>
      </c>
      <c r="S24" t="s">
        <v>160</v>
      </c>
      <c r="T24" t="s">
        <v>137</v>
      </c>
      <c r="U24">
        <v>11</v>
      </c>
      <c r="V24">
        <v>9</v>
      </c>
      <c r="W24" t="str">
        <f>"4.4"</f>
        <v>4.4</v>
      </c>
      <c r="X24" t="s">
        <v>172</v>
      </c>
      <c r="AA24" t="s">
        <v>94</v>
      </c>
      <c r="AB24" t="s">
        <v>95</v>
      </c>
      <c r="AC24" t="s">
        <v>96</v>
      </c>
      <c r="AD24" t="s">
        <v>95</v>
      </c>
      <c r="AE24" t="s">
        <v>95</v>
      </c>
      <c r="AF24" t="s">
        <v>95</v>
      </c>
      <c r="AN24" t="s">
        <v>95</v>
      </c>
      <c r="AQ24" s="1">
        <v>46055</v>
      </c>
      <c r="AS24">
        <v>5700</v>
      </c>
      <c r="AT24" t="s">
        <v>117</v>
      </c>
      <c r="AU24" t="s">
        <v>169</v>
      </c>
      <c r="AV24">
        <v>4882</v>
      </c>
      <c r="AW24">
        <v>4882</v>
      </c>
      <c r="AX24">
        <v>4882</v>
      </c>
      <c r="AY24">
        <v>0</v>
      </c>
      <c r="AZ24" t="s">
        <v>113</v>
      </c>
      <c r="BB24">
        <v>494263</v>
      </c>
      <c r="BC24" t="s">
        <v>99</v>
      </c>
      <c r="BD24" s="1">
        <v>46174</v>
      </c>
      <c r="BE24" t="s">
        <v>141</v>
      </c>
      <c r="BG24" t="s">
        <v>100</v>
      </c>
      <c r="BH24" t="str">
        <f t="shared" si="2"/>
        <v>720746049</v>
      </c>
      <c r="BI24" t="s">
        <v>101</v>
      </c>
      <c r="BJ24" t="s">
        <v>102</v>
      </c>
      <c r="BK24" t="s">
        <v>102</v>
      </c>
      <c r="BL24">
        <v>939141431</v>
      </c>
      <c r="BM24">
        <v>7235640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946377071</v>
      </c>
      <c r="BT24">
        <v>99.24</v>
      </c>
      <c r="BU24">
        <v>0.76</v>
      </c>
      <c r="BV24">
        <v>0</v>
      </c>
      <c r="BW24">
        <v>0</v>
      </c>
      <c r="BX24">
        <v>0</v>
      </c>
      <c r="BY24">
        <v>0</v>
      </c>
      <c r="BZ24">
        <v>0</v>
      </c>
    </row>
    <row r="25" spans="1:78">
      <c r="A25" t="s">
        <v>152</v>
      </c>
      <c r="B25" t="s">
        <v>153</v>
      </c>
      <c r="C25" t="s">
        <v>154</v>
      </c>
      <c r="D25" t="s">
        <v>155</v>
      </c>
      <c r="E25">
        <v>40631</v>
      </c>
      <c r="F25" t="s">
        <v>156</v>
      </c>
      <c r="G25">
        <v>1447238</v>
      </c>
      <c r="H25">
        <v>1147911</v>
      </c>
      <c r="I25">
        <v>37101196</v>
      </c>
      <c r="J25">
        <v>419872</v>
      </c>
      <c r="L25" t="s">
        <v>157</v>
      </c>
      <c r="M25" t="s">
        <v>158</v>
      </c>
      <c r="N25" t="s">
        <v>87</v>
      </c>
      <c r="O25" t="s">
        <v>159</v>
      </c>
      <c r="P25" t="s">
        <v>159</v>
      </c>
      <c r="Q25" t="s">
        <v>112</v>
      </c>
      <c r="R25" s="1">
        <v>46144</v>
      </c>
      <c r="S25" t="s">
        <v>160</v>
      </c>
      <c r="T25" t="s">
        <v>137</v>
      </c>
      <c r="U25">
        <v>12</v>
      </c>
      <c r="V25">
        <v>10</v>
      </c>
      <c r="W25" t="str">
        <f>"4.5"</f>
        <v>4.5</v>
      </c>
      <c r="X25" t="s">
        <v>173</v>
      </c>
      <c r="AA25" t="s">
        <v>94</v>
      </c>
      <c r="AB25" t="s">
        <v>95</v>
      </c>
      <c r="AC25" t="s">
        <v>96</v>
      </c>
      <c r="AD25" t="s">
        <v>95</v>
      </c>
      <c r="AE25" t="s">
        <v>95</v>
      </c>
      <c r="AF25" t="s">
        <v>95</v>
      </c>
      <c r="AN25" t="s">
        <v>95</v>
      </c>
      <c r="AQ25" s="1">
        <v>46055</v>
      </c>
      <c r="AS25">
        <v>5700</v>
      </c>
      <c r="AT25" t="s">
        <v>117</v>
      </c>
      <c r="AU25" t="s">
        <v>169</v>
      </c>
      <c r="AV25">
        <v>4882</v>
      </c>
      <c r="AW25">
        <v>4882</v>
      </c>
      <c r="AX25">
        <v>4882</v>
      </c>
      <c r="AY25">
        <v>0</v>
      </c>
      <c r="AZ25" t="s">
        <v>113</v>
      </c>
      <c r="BB25">
        <v>494263</v>
      </c>
      <c r="BC25" t="s">
        <v>99</v>
      </c>
      <c r="BD25" s="1">
        <v>46174</v>
      </c>
      <c r="BE25" t="s">
        <v>141</v>
      </c>
      <c r="BG25" t="s">
        <v>100</v>
      </c>
      <c r="BH25" t="str">
        <f t="shared" si="2"/>
        <v>720746049</v>
      </c>
      <c r="BI25" t="s">
        <v>101</v>
      </c>
      <c r="BJ25" t="s">
        <v>102</v>
      </c>
      <c r="BK25" t="s">
        <v>102</v>
      </c>
      <c r="BL25">
        <v>934594265</v>
      </c>
      <c r="BM25">
        <v>11791593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946385858</v>
      </c>
      <c r="BT25">
        <v>98.75</v>
      </c>
      <c r="BU25">
        <v>1.25</v>
      </c>
      <c r="BV25">
        <v>0</v>
      </c>
      <c r="BW25">
        <v>0</v>
      </c>
      <c r="BX25">
        <v>0</v>
      </c>
      <c r="BY25">
        <v>0</v>
      </c>
      <c r="BZ25">
        <v>0</v>
      </c>
    </row>
    <row r="26" spans="1:78">
      <c r="A26" t="s">
        <v>152</v>
      </c>
      <c r="B26" t="s">
        <v>153</v>
      </c>
      <c r="C26" t="s">
        <v>154</v>
      </c>
      <c r="D26" t="s">
        <v>155</v>
      </c>
      <c r="E26">
        <v>40631</v>
      </c>
      <c r="F26" t="s">
        <v>156</v>
      </c>
      <c r="G26">
        <v>1447238</v>
      </c>
      <c r="H26">
        <v>1147911</v>
      </c>
      <c r="I26">
        <v>37101196</v>
      </c>
      <c r="J26">
        <v>419872</v>
      </c>
      <c r="L26" t="s">
        <v>157</v>
      </c>
      <c r="M26" t="s">
        <v>158</v>
      </c>
      <c r="N26" t="s">
        <v>87</v>
      </c>
      <c r="O26" t="s">
        <v>159</v>
      </c>
      <c r="P26" t="s">
        <v>159</v>
      </c>
      <c r="Q26" t="s">
        <v>112</v>
      </c>
      <c r="R26" s="1">
        <v>46144</v>
      </c>
      <c r="S26" t="s">
        <v>160</v>
      </c>
      <c r="T26" t="s">
        <v>137</v>
      </c>
      <c r="U26">
        <v>13</v>
      </c>
      <c r="V26">
        <v>11</v>
      </c>
      <c r="W26" t="str">
        <f>"4.6"</f>
        <v>4.6</v>
      </c>
      <c r="X26" t="s">
        <v>174</v>
      </c>
      <c r="AA26" t="s">
        <v>94</v>
      </c>
      <c r="AB26" t="s">
        <v>95</v>
      </c>
      <c r="AC26" t="s">
        <v>96</v>
      </c>
      <c r="AD26" t="s">
        <v>95</v>
      </c>
      <c r="AE26" t="s">
        <v>95</v>
      </c>
      <c r="AF26" t="s">
        <v>95</v>
      </c>
      <c r="AN26" t="s">
        <v>95</v>
      </c>
      <c r="AQ26" s="1">
        <v>46055</v>
      </c>
      <c r="AS26">
        <v>5700</v>
      </c>
      <c r="AT26" t="s">
        <v>117</v>
      </c>
      <c r="AU26" t="s">
        <v>169</v>
      </c>
      <c r="AV26">
        <v>4882</v>
      </c>
      <c r="AW26">
        <v>4882</v>
      </c>
      <c r="AX26">
        <v>4882</v>
      </c>
      <c r="AY26">
        <v>0</v>
      </c>
      <c r="AZ26" t="s">
        <v>113</v>
      </c>
      <c r="BB26">
        <v>494263</v>
      </c>
      <c r="BC26" t="s">
        <v>99</v>
      </c>
      <c r="BD26" s="1">
        <v>46174</v>
      </c>
      <c r="BE26" t="s">
        <v>141</v>
      </c>
      <c r="BG26" t="s">
        <v>100</v>
      </c>
      <c r="BH26" t="str">
        <f t="shared" si="2"/>
        <v>720746049</v>
      </c>
      <c r="BI26" t="s">
        <v>101</v>
      </c>
      <c r="BJ26" t="s">
        <v>102</v>
      </c>
      <c r="BK26" t="s">
        <v>102</v>
      </c>
      <c r="BL26">
        <v>939126947</v>
      </c>
      <c r="BM26">
        <v>7242275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946369222</v>
      </c>
      <c r="BT26">
        <v>99.23</v>
      </c>
      <c r="BU26">
        <v>0.77</v>
      </c>
      <c r="BV26">
        <v>0</v>
      </c>
      <c r="BW26">
        <v>0</v>
      </c>
      <c r="BX26">
        <v>0</v>
      </c>
      <c r="BY26">
        <v>0</v>
      </c>
      <c r="BZ26">
        <v>0</v>
      </c>
    </row>
    <row r="27" spans="1:78">
      <c r="A27" t="s">
        <v>152</v>
      </c>
      <c r="B27" t="s">
        <v>153</v>
      </c>
      <c r="C27" t="s">
        <v>154</v>
      </c>
      <c r="D27" t="s">
        <v>155</v>
      </c>
      <c r="E27">
        <v>40631</v>
      </c>
      <c r="F27" t="s">
        <v>156</v>
      </c>
      <c r="G27">
        <v>1447238</v>
      </c>
      <c r="H27">
        <v>1147911</v>
      </c>
      <c r="I27">
        <v>37101196</v>
      </c>
      <c r="J27">
        <v>419872</v>
      </c>
      <c r="L27" t="s">
        <v>157</v>
      </c>
      <c r="M27" t="s">
        <v>158</v>
      </c>
      <c r="N27" t="s">
        <v>87</v>
      </c>
      <c r="O27" t="s">
        <v>159</v>
      </c>
      <c r="P27" t="s">
        <v>159</v>
      </c>
      <c r="Q27" t="s">
        <v>112</v>
      </c>
      <c r="R27" s="1">
        <v>46144</v>
      </c>
      <c r="S27" t="s">
        <v>160</v>
      </c>
      <c r="T27" t="s">
        <v>137</v>
      </c>
      <c r="U27">
        <v>14</v>
      </c>
      <c r="V27">
        <v>12</v>
      </c>
      <c r="W27" t="str">
        <f>"4.7"</f>
        <v>4.7</v>
      </c>
      <c r="X27" t="s">
        <v>175</v>
      </c>
      <c r="AA27" t="s">
        <v>94</v>
      </c>
      <c r="AB27" t="s">
        <v>95</v>
      </c>
      <c r="AC27" t="s">
        <v>96</v>
      </c>
      <c r="AD27" t="s">
        <v>95</v>
      </c>
      <c r="AE27" t="s">
        <v>95</v>
      </c>
      <c r="AF27" t="s">
        <v>95</v>
      </c>
      <c r="AN27" t="s">
        <v>95</v>
      </c>
      <c r="AQ27" s="1">
        <v>46055</v>
      </c>
      <c r="AS27">
        <v>5700</v>
      </c>
      <c r="AT27" t="s">
        <v>117</v>
      </c>
      <c r="AU27" t="s">
        <v>169</v>
      </c>
      <c r="AV27">
        <v>4882</v>
      </c>
      <c r="AW27">
        <v>4882</v>
      </c>
      <c r="AX27">
        <v>4882</v>
      </c>
      <c r="AY27">
        <v>0</v>
      </c>
      <c r="AZ27" t="s">
        <v>113</v>
      </c>
      <c r="BB27">
        <v>494263</v>
      </c>
      <c r="BC27" t="s">
        <v>99</v>
      </c>
      <c r="BD27" s="1">
        <v>46174</v>
      </c>
      <c r="BE27" t="s">
        <v>141</v>
      </c>
      <c r="BG27" t="s">
        <v>100</v>
      </c>
      <c r="BH27" t="str">
        <f t="shared" si="2"/>
        <v>720746049</v>
      </c>
      <c r="BI27" t="s">
        <v>101</v>
      </c>
      <c r="BJ27" t="s">
        <v>102</v>
      </c>
      <c r="BK27" t="s">
        <v>102</v>
      </c>
      <c r="BL27">
        <v>935356247</v>
      </c>
      <c r="BM27">
        <v>11046807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946403054</v>
      </c>
      <c r="BT27">
        <v>98.83</v>
      </c>
      <c r="BU27">
        <v>1.17</v>
      </c>
      <c r="BV27">
        <v>0</v>
      </c>
      <c r="BW27">
        <v>0</v>
      </c>
      <c r="BX27">
        <v>0</v>
      </c>
      <c r="BY27">
        <v>0</v>
      </c>
      <c r="BZ27">
        <v>0</v>
      </c>
    </row>
    <row r="28" spans="1:78">
      <c r="A28" t="s">
        <v>152</v>
      </c>
      <c r="B28" t="s">
        <v>153</v>
      </c>
      <c r="C28" t="s">
        <v>154</v>
      </c>
      <c r="D28" t="s">
        <v>155</v>
      </c>
      <c r="E28">
        <v>40631</v>
      </c>
      <c r="F28" t="s">
        <v>156</v>
      </c>
      <c r="G28">
        <v>1447238</v>
      </c>
      <c r="H28">
        <v>1147911</v>
      </c>
      <c r="I28">
        <v>37101196</v>
      </c>
      <c r="J28">
        <v>419872</v>
      </c>
      <c r="L28" t="s">
        <v>157</v>
      </c>
      <c r="M28" t="s">
        <v>158</v>
      </c>
      <c r="N28" t="s">
        <v>87</v>
      </c>
      <c r="O28" t="s">
        <v>159</v>
      </c>
      <c r="P28" t="s">
        <v>159</v>
      </c>
      <c r="Q28" t="s">
        <v>112</v>
      </c>
      <c r="R28" s="1">
        <v>46144</v>
      </c>
      <c r="S28" t="s">
        <v>160</v>
      </c>
      <c r="T28" t="s">
        <v>137</v>
      </c>
      <c r="U28">
        <v>15</v>
      </c>
      <c r="V28">
        <v>13</v>
      </c>
      <c r="W28" t="str">
        <f>"4.8"</f>
        <v>4.8</v>
      </c>
      <c r="X28" t="s">
        <v>176</v>
      </c>
      <c r="AA28" t="s">
        <v>94</v>
      </c>
      <c r="AB28" t="s">
        <v>95</v>
      </c>
      <c r="AC28" t="s">
        <v>96</v>
      </c>
      <c r="AD28" t="s">
        <v>95</v>
      </c>
      <c r="AE28" t="s">
        <v>95</v>
      </c>
      <c r="AF28" t="s">
        <v>95</v>
      </c>
      <c r="AN28" t="s">
        <v>95</v>
      </c>
      <c r="AQ28" s="1">
        <v>46055</v>
      </c>
      <c r="AS28">
        <v>5700</v>
      </c>
      <c r="AT28" t="s">
        <v>117</v>
      </c>
      <c r="AU28" t="s">
        <v>169</v>
      </c>
      <c r="AV28">
        <v>4882</v>
      </c>
      <c r="AW28">
        <v>4882</v>
      </c>
      <c r="AX28">
        <v>4882</v>
      </c>
      <c r="AY28">
        <v>0</v>
      </c>
      <c r="AZ28" t="s">
        <v>113</v>
      </c>
      <c r="BB28">
        <v>494263</v>
      </c>
      <c r="BC28" t="s">
        <v>99</v>
      </c>
      <c r="BD28" s="1">
        <v>46174</v>
      </c>
      <c r="BE28" t="s">
        <v>141</v>
      </c>
      <c r="BG28" t="s">
        <v>100</v>
      </c>
      <c r="BH28" t="str">
        <f t="shared" si="2"/>
        <v>720746049</v>
      </c>
      <c r="BI28" t="s">
        <v>101</v>
      </c>
      <c r="BJ28" t="s">
        <v>102</v>
      </c>
      <c r="BK28" t="s">
        <v>102</v>
      </c>
      <c r="BL28">
        <v>939138274</v>
      </c>
      <c r="BM28">
        <v>7245793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946384067</v>
      </c>
      <c r="BT28">
        <v>99.23</v>
      </c>
      <c r="BU28">
        <v>0.77</v>
      </c>
      <c r="BV28">
        <v>0</v>
      </c>
      <c r="BW28">
        <v>0</v>
      </c>
      <c r="BX28">
        <v>0</v>
      </c>
      <c r="BY28">
        <v>0</v>
      </c>
      <c r="BZ28">
        <v>0</v>
      </c>
    </row>
    <row r="29" spans="1:78">
      <c r="A29" t="s">
        <v>152</v>
      </c>
      <c r="B29" t="s">
        <v>153</v>
      </c>
      <c r="C29" t="s">
        <v>154</v>
      </c>
      <c r="D29" t="s">
        <v>155</v>
      </c>
      <c r="E29">
        <v>40631</v>
      </c>
      <c r="F29" t="s">
        <v>156</v>
      </c>
      <c r="G29">
        <v>1447238</v>
      </c>
      <c r="H29">
        <v>1147911</v>
      </c>
      <c r="I29">
        <v>37101196</v>
      </c>
      <c r="J29">
        <v>419872</v>
      </c>
      <c r="L29" t="s">
        <v>157</v>
      </c>
      <c r="M29" t="s">
        <v>158</v>
      </c>
      <c r="N29" t="s">
        <v>87</v>
      </c>
      <c r="O29" t="s">
        <v>159</v>
      </c>
      <c r="P29" t="s">
        <v>159</v>
      </c>
      <c r="Q29" t="s">
        <v>112</v>
      </c>
      <c r="R29" s="1">
        <v>46144</v>
      </c>
      <c r="S29" t="s">
        <v>160</v>
      </c>
      <c r="T29" t="s">
        <v>137</v>
      </c>
      <c r="U29">
        <v>16</v>
      </c>
      <c r="V29">
        <v>14</v>
      </c>
      <c r="W29" t="str">
        <f>"4.9"</f>
        <v>4.9</v>
      </c>
      <c r="X29" t="s">
        <v>177</v>
      </c>
      <c r="AA29" t="s">
        <v>94</v>
      </c>
      <c r="AB29" t="s">
        <v>95</v>
      </c>
      <c r="AC29" t="s">
        <v>96</v>
      </c>
      <c r="AD29" t="s">
        <v>95</v>
      </c>
      <c r="AE29" t="s">
        <v>95</v>
      </c>
      <c r="AF29" t="s">
        <v>95</v>
      </c>
      <c r="AN29" t="s">
        <v>95</v>
      </c>
      <c r="AQ29" s="1">
        <v>46055</v>
      </c>
      <c r="AS29">
        <v>5700</v>
      </c>
      <c r="AT29" t="s">
        <v>117</v>
      </c>
      <c r="AU29" t="s">
        <v>169</v>
      </c>
      <c r="AV29">
        <v>4882</v>
      </c>
      <c r="AW29">
        <v>4882</v>
      </c>
      <c r="AX29">
        <v>4882</v>
      </c>
      <c r="AY29">
        <v>0</v>
      </c>
      <c r="AZ29" t="s">
        <v>113</v>
      </c>
      <c r="BB29">
        <v>494263</v>
      </c>
      <c r="BC29" t="s">
        <v>99</v>
      </c>
      <c r="BD29" s="1">
        <v>46174</v>
      </c>
      <c r="BE29" t="s">
        <v>141</v>
      </c>
      <c r="BG29" t="s">
        <v>100</v>
      </c>
      <c r="BH29" t="str">
        <f t="shared" si="2"/>
        <v>720746049</v>
      </c>
      <c r="BI29" t="s">
        <v>101</v>
      </c>
      <c r="BJ29" t="s">
        <v>102</v>
      </c>
      <c r="BK29" t="s">
        <v>102</v>
      </c>
      <c r="BL29">
        <v>939131038</v>
      </c>
      <c r="BM29">
        <v>7242653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946373691</v>
      </c>
      <c r="BT29">
        <v>99.23</v>
      </c>
      <c r="BU29">
        <v>0.77</v>
      </c>
      <c r="BV29">
        <v>0</v>
      </c>
      <c r="BW29">
        <v>0</v>
      </c>
      <c r="BX29">
        <v>0</v>
      </c>
      <c r="BY29">
        <v>0</v>
      </c>
      <c r="BZ29">
        <v>0</v>
      </c>
    </row>
    <row r="30" spans="1:78">
      <c r="A30" t="s">
        <v>152</v>
      </c>
      <c r="B30" t="s">
        <v>153</v>
      </c>
      <c r="C30" t="s">
        <v>154</v>
      </c>
      <c r="D30" t="s">
        <v>155</v>
      </c>
      <c r="E30">
        <v>40631</v>
      </c>
      <c r="F30" t="s">
        <v>156</v>
      </c>
      <c r="G30">
        <v>1447238</v>
      </c>
      <c r="H30">
        <v>1147911</v>
      </c>
      <c r="I30">
        <v>37101196</v>
      </c>
      <c r="J30">
        <v>419872</v>
      </c>
      <c r="L30" t="s">
        <v>157</v>
      </c>
      <c r="M30" t="s">
        <v>158</v>
      </c>
      <c r="N30" t="s">
        <v>87</v>
      </c>
      <c r="O30" t="s">
        <v>159</v>
      </c>
      <c r="P30" t="s">
        <v>159</v>
      </c>
      <c r="Q30" t="s">
        <v>112</v>
      </c>
      <c r="R30" s="1">
        <v>46144</v>
      </c>
      <c r="S30" t="s">
        <v>160</v>
      </c>
      <c r="T30" t="s">
        <v>137</v>
      </c>
      <c r="U30">
        <v>17</v>
      </c>
      <c r="V30">
        <v>15</v>
      </c>
      <c r="W30" t="str">
        <f>"4.10"</f>
        <v>4.10</v>
      </c>
      <c r="X30" t="s">
        <v>178</v>
      </c>
      <c r="AA30" t="s">
        <v>94</v>
      </c>
      <c r="AB30" t="s">
        <v>95</v>
      </c>
      <c r="AC30" t="s">
        <v>96</v>
      </c>
      <c r="AD30" t="s">
        <v>95</v>
      </c>
      <c r="AE30" t="s">
        <v>95</v>
      </c>
      <c r="AF30" t="s">
        <v>95</v>
      </c>
      <c r="AN30" t="s">
        <v>95</v>
      </c>
      <c r="AQ30" s="1">
        <v>46055</v>
      </c>
      <c r="AS30">
        <v>5700</v>
      </c>
      <c r="AT30" t="s">
        <v>117</v>
      </c>
      <c r="AU30" t="s">
        <v>169</v>
      </c>
      <c r="AV30">
        <v>4882</v>
      </c>
      <c r="AW30">
        <v>4882</v>
      </c>
      <c r="AX30">
        <v>4882</v>
      </c>
      <c r="AY30">
        <v>0</v>
      </c>
      <c r="AZ30" t="s">
        <v>113</v>
      </c>
      <c r="BB30">
        <v>494263</v>
      </c>
      <c r="BC30" t="s">
        <v>99</v>
      </c>
      <c r="BD30" s="1">
        <v>46174</v>
      </c>
      <c r="BE30" t="s">
        <v>141</v>
      </c>
      <c r="BG30" t="s">
        <v>100</v>
      </c>
      <c r="BH30" t="str">
        <f t="shared" si="2"/>
        <v>720746049</v>
      </c>
      <c r="BI30" t="s">
        <v>101</v>
      </c>
      <c r="BJ30" t="s">
        <v>102</v>
      </c>
      <c r="BK30" t="s">
        <v>102</v>
      </c>
      <c r="BL30">
        <v>939140934</v>
      </c>
      <c r="BM30">
        <v>7234610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946375544</v>
      </c>
      <c r="BT30">
        <v>99.24</v>
      </c>
      <c r="BU30">
        <v>0.76</v>
      </c>
      <c r="BV30">
        <v>0</v>
      </c>
      <c r="BW30">
        <v>0</v>
      </c>
      <c r="BX30">
        <v>0</v>
      </c>
      <c r="BY30">
        <v>0</v>
      </c>
      <c r="BZ30">
        <v>0</v>
      </c>
    </row>
    <row r="31" spans="1:78">
      <c r="A31" t="s">
        <v>152</v>
      </c>
      <c r="B31" t="s">
        <v>153</v>
      </c>
      <c r="C31" t="s">
        <v>154</v>
      </c>
      <c r="D31" t="s">
        <v>155</v>
      </c>
      <c r="E31">
        <v>40631</v>
      </c>
      <c r="F31" t="s">
        <v>156</v>
      </c>
      <c r="G31">
        <v>1447238</v>
      </c>
      <c r="H31">
        <v>1147911</v>
      </c>
      <c r="I31">
        <v>37101196</v>
      </c>
      <c r="J31">
        <v>419872</v>
      </c>
      <c r="L31" t="s">
        <v>157</v>
      </c>
      <c r="M31" t="s">
        <v>158</v>
      </c>
      <c r="N31" t="s">
        <v>87</v>
      </c>
      <c r="O31" t="s">
        <v>159</v>
      </c>
      <c r="P31" t="s">
        <v>159</v>
      </c>
      <c r="Q31" t="s">
        <v>112</v>
      </c>
      <c r="R31" s="1">
        <v>46144</v>
      </c>
      <c r="S31" t="s">
        <v>160</v>
      </c>
      <c r="T31" t="s">
        <v>137</v>
      </c>
      <c r="U31">
        <v>18</v>
      </c>
      <c r="V31">
        <v>16</v>
      </c>
      <c r="W31" t="str">
        <f>"4.11"</f>
        <v>4.11</v>
      </c>
      <c r="X31" t="s">
        <v>179</v>
      </c>
      <c r="AA31" t="s">
        <v>94</v>
      </c>
      <c r="AB31" t="s">
        <v>95</v>
      </c>
      <c r="AC31" t="s">
        <v>96</v>
      </c>
      <c r="AD31" t="s">
        <v>95</v>
      </c>
      <c r="AE31" t="s">
        <v>95</v>
      </c>
      <c r="AF31" t="s">
        <v>95</v>
      </c>
      <c r="AN31" t="s">
        <v>95</v>
      </c>
      <c r="AQ31" s="1">
        <v>46055</v>
      </c>
      <c r="AS31">
        <v>5700</v>
      </c>
      <c r="AT31" t="s">
        <v>117</v>
      </c>
      <c r="AU31" t="s">
        <v>169</v>
      </c>
      <c r="AV31">
        <v>4882</v>
      </c>
      <c r="AW31">
        <v>4882</v>
      </c>
      <c r="AX31">
        <v>4882</v>
      </c>
      <c r="AY31">
        <v>0</v>
      </c>
      <c r="AZ31" t="s">
        <v>113</v>
      </c>
      <c r="BB31">
        <v>494263</v>
      </c>
      <c r="BC31" t="s">
        <v>99</v>
      </c>
      <c r="BD31" s="1">
        <v>46174</v>
      </c>
      <c r="BE31" t="s">
        <v>141</v>
      </c>
      <c r="BG31" t="s">
        <v>100</v>
      </c>
      <c r="BH31" t="str">
        <f t="shared" si="2"/>
        <v>720746049</v>
      </c>
      <c r="BI31" t="s">
        <v>101</v>
      </c>
      <c r="BJ31" t="s">
        <v>102</v>
      </c>
      <c r="BK31" t="s">
        <v>102</v>
      </c>
      <c r="BL31">
        <v>939128139</v>
      </c>
      <c r="BM31">
        <v>7243641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946371780</v>
      </c>
      <c r="BT31">
        <v>99.23</v>
      </c>
      <c r="BU31">
        <v>0.77</v>
      </c>
      <c r="BV31">
        <v>0</v>
      </c>
      <c r="BW31">
        <v>0</v>
      </c>
      <c r="BX31">
        <v>0</v>
      </c>
      <c r="BY31">
        <v>0</v>
      </c>
      <c r="BZ31">
        <v>0</v>
      </c>
    </row>
    <row r="32" spans="1:78">
      <c r="A32" t="s">
        <v>152</v>
      </c>
      <c r="B32" t="s">
        <v>153</v>
      </c>
      <c r="C32" t="s">
        <v>154</v>
      </c>
      <c r="D32" t="s">
        <v>155</v>
      </c>
      <c r="E32">
        <v>40631</v>
      </c>
      <c r="F32" t="s">
        <v>156</v>
      </c>
      <c r="G32">
        <v>1447238</v>
      </c>
      <c r="H32">
        <v>1147911</v>
      </c>
      <c r="I32">
        <v>37101196</v>
      </c>
      <c r="J32">
        <v>419872</v>
      </c>
      <c r="L32" t="s">
        <v>157</v>
      </c>
      <c r="M32" t="s">
        <v>158</v>
      </c>
      <c r="N32" t="s">
        <v>87</v>
      </c>
      <c r="O32" t="s">
        <v>159</v>
      </c>
      <c r="P32" t="s">
        <v>159</v>
      </c>
      <c r="Q32" t="s">
        <v>112</v>
      </c>
      <c r="R32" s="1">
        <v>46144</v>
      </c>
      <c r="S32" t="s">
        <v>160</v>
      </c>
      <c r="T32" t="s">
        <v>137</v>
      </c>
      <c r="U32">
        <v>19</v>
      </c>
      <c r="V32">
        <v>17</v>
      </c>
      <c r="W32" t="str">
        <f>"4.12"</f>
        <v>4.12</v>
      </c>
      <c r="X32" t="s">
        <v>180</v>
      </c>
      <c r="AA32" t="s">
        <v>94</v>
      </c>
      <c r="AB32" t="s">
        <v>95</v>
      </c>
      <c r="AC32" t="s">
        <v>96</v>
      </c>
      <c r="AD32" t="s">
        <v>95</v>
      </c>
      <c r="AE32" t="s">
        <v>95</v>
      </c>
      <c r="AF32" t="s">
        <v>95</v>
      </c>
      <c r="AN32" t="s">
        <v>95</v>
      </c>
      <c r="AQ32" s="1">
        <v>46055</v>
      </c>
      <c r="AS32">
        <v>5700</v>
      </c>
      <c r="AT32" t="s">
        <v>117</v>
      </c>
      <c r="AU32" t="s">
        <v>169</v>
      </c>
      <c r="AV32">
        <v>4882</v>
      </c>
      <c r="AW32">
        <v>4882</v>
      </c>
      <c r="AX32">
        <v>4882</v>
      </c>
      <c r="AY32">
        <v>0</v>
      </c>
      <c r="AZ32" t="s">
        <v>113</v>
      </c>
      <c r="BB32">
        <v>494263</v>
      </c>
      <c r="BC32" t="s">
        <v>99</v>
      </c>
      <c r="BD32" s="1">
        <v>46174</v>
      </c>
      <c r="BE32" t="s">
        <v>141</v>
      </c>
      <c r="BG32" t="s">
        <v>100</v>
      </c>
      <c r="BH32" t="str">
        <f t="shared" si="2"/>
        <v>720746049</v>
      </c>
      <c r="BI32" t="s">
        <v>101</v>
      </c>
      <c r="BJ32" t="s">
        <v>102</v>
      </c>
      <c r="BK32" t="s">
        <v>102</v>
      </c>
      <c r="BL32">
        <v>939150559</v>
      </c>
      <c r="BM32">
        <v>7234582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946385141</v>
      </c>
      <c r="BT32">
        <v>99.24</v>
      </c>
      <c r="BU32">
        <v>0.76</v>
      </c>
      <c r="BV32">
        <v>0</v>
      </c>
      <c r="BW32">
        <v>0</v>
      </c>
      <c r="BX32">
        <v>0</v>
      </c>
      <c r="BY32">
        <v>0</v>
      </c>
      <c r="BZ32">
        <v>0</v>
      </c>
    </row>
    <row r="33" spans="1:78">
      <c r="A33" t="s">
        <v>152</v>
      </c>
      <c r="B33" t="s">
        <v>153</v>
      </c>
      <c r="C33" t="s">
        <v>154</v>
      </c>
      <c r="D33" t="s">
        <v>155</v>
      </c>
      <c r="E33">
        <v>40631</v>
      </c>
      <c r="F33" t="s">
        <v>156</v>
      </c>
      <c r="G33">
        <v>1447238</v>
      </c>
      <c r="H33">
        <v>1147911</v>
      </c>
      <c r="I33">
        <v>37101196</v>
      </c>
      <c r="J33">
        <v>419872</v>
      </c>
      <c r="L33" t="s">
        <v>157</v>
      </c>
      <c r="M33" t="s">
        <v>158</v>
      </c>
      <c r="N33" t="s">
        <v>87</v>
      </c>
      <c r="O33" t="s">
        <v>159</v>
      </c>
      <c r="P33" t="s">
        <v>159</v>
      </c>
      <c r="Q33" t="s">
        <v>112</v>
      </c>
      <c r="R33" s="1">
        <v>46144</v>
      </c>
      <c r="S33" t="s">
        <v>160</v>
      </c>
      <c r="T33" t="s">
        <v>137</v>
      </c>
      <c r="U33">
        <v>20</v>
      </c>
      <c r="V33">
        <v>18</v>
      </c>
      <c r="W33" t="str">
        <f>"4.13"</f>
        <v>4.13</v>
      </c>
      <c r="X33" t="s">
        <v>181</v>
      </c>
      <c r="AA33" t="s">
        <v>94</v>
      </c>
      <c r="AB33" t="s">
        <v>95</v>
      </c>
      <c r="AC33" t="s">
        <v>96</v>
      </c>
      <c r="AD33" t="s">
        <v>95</v>
      </c>
      <c r="AE33" t="s">
        <v>95</v>
      </c>
      <c r="AF33" t="s">
        <v>95</v>
      </c>
      <c r="AN33" t="s">
        <v>95</v>
      </c>
      <c r="AQ33" s="1">
        <v>46055</v>
      </c>
      <c r="AS33">
        <v>5700</v>
      </c>
      <c r="AT33" t="s">
        <v>117</v>
      </c>
      <c r="AU33" t="s">
        <v>169</v>
      </c>
      <c r="AV33">
        <v>4882</v>
      </c>
      <c r="AW33">
        <v>4882</v>
      </c>
      <c r="AX33">
        <v>4882</v>
      </c>
      <c r="AY33">
        <v>0</v>
      </c>
      <c r="AZ33" t="s">
        <v>113</v>
      </c>
      <c r="BB33">
        <v>494263</v>
      </c>
      <c r="BC33" t="s">
        <v>99</v>
      </c>
      <c r="BD33" s="1">
        <v>46174</v>
      </c>
      <c r="BE33" t="s">
        <v>141</v>
      </c>
      <c r="BG33" t="s">
        <v>100</v>
      </c>
      <c r="BH33" t="str">
        <f t="shared" si="2"/>
        <v>720746049</v>
      </c>
      <c r="BI33" t="s">
        <v>101</v>
      </c>
      <c r="BJ33" t="s">
        <v>102</v>
      </c>
      <c r="BK33" t="s">
        <v>102</v>
      </c>
      <c r="BL33">
        <v>935336382</v>
      </c>
      <c r="BM33">
        <v>11039719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946376101</v>
      </c>
      <c r="BT33">
        <v>98.83</v>
      </c>
      <c r="BU33">
        <v>1.17</v>
      </c>
      <c r="BV33">
        <v>0</v>
      </c>
      <c r="BW33">
        <v>0</v>
      </c>
      <c r="BX33">
        <v>0</v>
      </c>
      <c r="BY33">
        <v>0</v>
      </c>
      <c r="BZ33">
        <v>0</v>
      </c>
    </row>
    <row r="34" spans="1:78">
      <c r="A34" t="s">
        <v>152</v>
      </c>
      <c r="B34" t="s">
        <v>153</v>
      </c>
      <c r="C34" t="s">
        <v>154</v>
      </c>
      <c r="D34" t="s">
        <v>155</v>
      </c>
      <c r="E34">
        <v>40631</v>
      </c>
      <c r="F34" t="s">
        <v>156</v>
      </c>
      <c r="G34">
        <v>1447238</v>
      </c>
      <c r="H34">
        <v>1147911</v>
      </c>
      <c r="I34">
        <v>37101196</v>
      </c>
      <c r="J34">
        <v>419872</v>
      </c>
      <c r="L34" t="s">
        <v>157</v>
      </c>
      <c r="M34" t="s">
        <v>158</v>
      </c>
      <c r="N34" t="s">
        <v>87</v>
      </c>
      <c r="O34" t="s">
        <v>159</v>
      </c>
      <c r="P34" t="s">
        <v>159</v>
      </c>
      <c r="Q34" t="s">
        <v>112</v>
      </c>
      <c r="R34" s="1">
        <v>46144</v>
      </c>
      <c r="S34" t="s">
        <v>160</v>
      </c>
      <c r="T34" t="s">
        <v>137</v>
      </c>
      <c r="U34">
        <v>21</v>
      </c>
      <c r="V34">
        <v>19</v>
      </c>
      <c r="W34" t="str">
        <f>"4.14"</f>
        <v>4.14</v>
      </c>
      <c r="X34" t="s">
        <v>182</v>
      </c>
      <c r="AA34" t="s">
        <v>94</v>
      </c>
      <c r="AB34" t="s">
        <v>95</v>
      </c>
      <c r="AC34" t="s">
        <v>96</v>
      </c>
      <c r="AD34" t="s">
        <v>95</v>
      </c>
      <c r="AE34" t="s">
        <v>95</v>
      </c>
      <c r="AF34" t="s">
        <v>95</v>
      </c>
      <c r="AN34" t="s">
        <v>95</v>
      </c>
      <c r="AQ34" s="1">
        <v>46055</v>
      </c>
      <c r="AS34">
        <v>5700</v>
      </c>
      <c r="AT34" t="s">
        <v>117</v>
      </c>
      <c r="AU34" t="s">
        <v>169</v>
      </c>
      <c r="AV34">
        <v>4882</v>
      </c>
      <c r="AW34">
        <v>4882</v>
      </c>
      <c r="AX34">
        <v>4882</v>
      </c>
      <c r="AY34">
        <v>0</v>
      </c>
      <c r="AZ34" t="s">
        <v>113</v>
      </c>
      <c r="BB34">
        <v>494263</v>
      </c>
      <c r="BC34" t="s">
        <v>99</v>
      </c>
      <c r="BD34" s="1">
        <v>46174</v>
      </c>
      <c r="BE34" t="s">
        <v>141</v>
      </c>
      <c r="BG34" t="s">
        <v>100</v>
      </c>
      <c r="BH34" t="str">
        <f t="shared" si="2"/>
        <v>720746049</v>
      </c>
      <c r="BI34" t="s">
        <v>101</v>
      </c>
      <c r="BJ34" t="s">
        <v>102</v>
      </c>
      <c r="BK34" t="s">
        <v>102</v>
      </c>
      <c r="BL34">
        <v>939132851</v>
      </c>
      <c r="BM34">
        <v>7242441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946375292</v>
      </c>
      <c r="BT34">
        <v>99.23</v>
      </c>
      <c r="BU34">
        <v>0.77</v>
      </c>
      <c r="BV34">
        <v>0</v>
      </c>
      <c r="BW34">
        <v>0</v>
      </c>
      <c r="BX34">
        <v>0</v>
      </c>
      <c r="BY34">
        <v>0</v>
      </c>
      <c r="BZ34">
        <v>0</v>
      </c>
    </row>
    <row r="35" spans="1:78">
      <c r="A35" t="s">
        <v>152</v>
      </c>
      <c r="B35" t="s">
        <v>153</v>
      </c>
      <c r="C35" t="s">
        <v>154</v>
      </c>
      <c r="D35" t="s">
        <v>155</v>
      </c>
      <c r="E35">
        <v>40631</v>
      </c>
      <c r="F35" t="s">
        <v>156</v>
      </c>
      <c r="G35">
        <v>1447238</v>
      </c>
      <c r="H35">
        <v>1147911</v>
      </c>
      <c r="I35">
        <v>37101196</v>
      </c>
      <c r="J35">
        <v>419872</v>
      </c>
      <c r="L35" t="s">
        <v>157</v>
      </c>
      <c r="M35" t="s">
        <v>158</v>
      </c>
      <c r="N35" t="s">
        <v>87</v>
      </c>
      <c r="O35" t="s">
        <v>159</v>
      </c>
      <c r="P35" t="s">
        <v>159</v>
      </c>
      <c r="Q35" t="s">
        <v>112</v>
      </c>
      <c r="R35" s="1">
        <v>46144</v>
      </c>
      <c r="S35" t="s">
        <v>160</v>
      </c>
      <c r="T35" t="s">
        <v>137</v>
      </c>
      <c r="U35">
        <v>22</v>
      </c>
      <c r="V35">
        <v>20</v>
      </c>
      <c r="W35" t="str">
        <f>"4.15"</f>
        <v>4.15</v>
      </c>
      <c r="X35" t="s">
        <v>183</v>
      </c>
      <c r="AA35" t="s">
        <v>94</v>
      </c>
      <c r="AB35" t="s">
        <v>95</v>
      </c>
      <c r="AC35" t="s">
        <v>96</v>
      </c>
      <c r="AD35" t="s">
        <v>95</v>
      </c>
      <c r="AE35" t="s">
        <v>95</v>
      </c>
      <c r="AF35" t="s">
        <v>95</v>
      </c>
      <c r="AN35" t="s">
        <v>95</v>
      </c>
      <c r="AQ35" s="1">
        <v>46055</v>
      </c>
      <c r="AS35">
        <v>5700</v>
      </c>
      <c r="AT35" t="s">
        <v>117</v>
      </c>
      <c r="AU35" t="s">
        <v>169</v>
      </c>
      <c r="AV35">
        <v>4882</v>
      </c>
      <c r="AW35">
        <v>4882</v>
      </c>
      <c r="AX35">
        <v>4882</v>
      </c>
      <c r="AY35">
        <v>0</v>
      </c>
      <c r="AZ35" t="s">
        <v>113</v>
      </c>
      <c r="BB35">
        <v>494263</v>
      </c>
      <c r="BC35" t="s">
        <v>99</v>
      </c>
      <c r="BD35" s="1">
        <v>46174</v>
      </c>
      <c r="BE35" t="s">
        <v>141</v>
      </c>
      <c r="BG35" t="s">
        <v>100</v>
      </c>
      <c r="BH35" t="str">
        <f t="shared" si="2"/>
        <v>720746049</v>
      </c>
      <c r="BI35" t="s">
        <v>101</v>
      </c>
      <c r="BJ35" t="s">
        <v>102</v>
      </c>
      <c r="BK35" t="s">
        <v>102</v>
      </c>
      <c r="BL35">
        <v>939142224</v>
      </c>
      <c r="BM35">
        <v>7236031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946378255</v>
      </c>
      <c r="BT35">
        <v>99.24</v>
      </c>
      <c r="BU35">
        <v>0.76</v>
      </c>
      <c r="BV35">
        <v>0</v>
      </c>
      <c r="BW35">
        <v>0</v>
      </c>
      <c r="BX35">
        <v>0</v>
      </c>
      <c r="BY35">
        <v>0</v>
      </c>
      <c r="BZ35">
        <v>0</v>
      </c>
    </row>
    <row r="36" spans="1:78">
      <c r="A36" t="s">
        <v>152</v>
      </c>
      <c r="B36" t="s">
        <v>153</v>
      </c>
      <c r="C36" t="s">
        <v>154</v>
      </c>
      <c r="D36" t="s">
        <v>155</v>
      </c>
      <c r="E36">
        <v>40631</v>
      </c>
      <c r="F36" t="s">
        <v>156</v>
      </c>
      <c r="G36">
        <v>1447238</v>
      </c>
      <c r="H36">
        <v>1147911</v>
      </c>
      <c r="I36">
        <v>37101196</v>
      </c>
      <c r="J36">
        <v>419872</v>
      </c>
      <c r="L36" t="s">
        <v>157</v>
      </c>
      <c r="M36" t="s">
        <v>158</v>
      </c>
      <c r="N36" t="s">
        <v>87</v>
      </c>
      <c r="O36" t="s">
        <v>159</v>
      </c>
      <c r="P36" t="s">
        <v>159</v>
      </c>
      <c r="Q36" t="s">
        <v>112</v>
      </c>
      <c r="R36" s="1">
        <v>46144</v>
      </c>
      <c r="S36" t="s">
        <v>160</v>
      </c>
      <c r="T36" t="s">
        <v>137</v>
      </c>
      <c r="U36">
        <v>23</v>
      </c>
      <c r="V36">
        <v>21</v>
      </c>
      <c r="W36" t="str">
        <f>"4.16"</f>
        <v>4.16</v>
      </c>
      <c r="X36" t="s">
        <v>184</v>
      </c>
      <c r="AA36" t="s">
        <v>94</v>
      </c>
      <c r="AB36" t="s">
        <v>95</v>
      </c>
      <c r="AC36" t="s">
        <v>96</v>
      </c>
      <c r="AD36" t="s">
        <v>95</v>
      </c>
      <c r="AE36" t="s">
        <v>95</v>
      </c>
      <c r="AF36" t="s">
        <v>95</v>
      </c>
      <c r="AN36" t="s">
        <v>95</v>
      </c>
      <c r="AQ36" s="1">
        <v>46055</v>
      </c>
      <c r="AS36">
        <v>5700</v>
      </c>
      <c r="AT36" t="s">
        <v>117</v>
      </c>
      <c r="AU36" t="s">
        <v>169</v>
      </c>
      <c r="AV36">
        <v>4882</v>
      </c>
      <c r="AW36">
        <v>4882</v>
      </c>
      <c r="AX36">
        <v>4882</v>
      </c>
      <c r="AY36">
        <v>0</v>
      </c>
      <c r="AZ36" t="s">
        <v>113</v>
      </c>
      <c r="BB36">
        <v>494263</v>
      </c>
      <c r="BC36" t="s">
        <v>99</v>
      </c>
      <c r="BD36" s="1">
        <v>46174</v>
      </c>
      <c r="BE36" t="s">
        <v>141</v>
      </c>
      <c r="BG36" t="s">
        <v>100</v>
      </c>
      <c r="BH36" t="str">
        <f t="shared" si="2"/>
        <v>720746049</v>
      </c>
      <c r="BI36" t="s">
        <v>101</v>
      </c>
      <c r="BJ36" t="s">
        <v>102</v>
      </c>
      <c r="BK36" t="s">
        <v>102</v>
      </c>
      <c r="BL36">
        <v>939129577</v>
      </c>
      <c r="BM36">
        <v>7243849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946373426</v>
      </c>
      <c r="BT36">
        <v>99.23</v>
      </c>
      <c r="BU36">
        <v>0.77</v>
      </c>
      <c r="BV36">
        <v>0</v>
      </c>
      <c r="BW36">
        <v>0</v>
      </c>
      <c r="BX36">
        <v>0</v>
      </c>
      <c r="BY36">
        <v>0</v>
      </c>
      <c r="BZ36">
        <v>0</v>
      </c>
    </row>
    <row r="37" spans="1:78">
      <c r="A37" t="s">
        <v>152</v>
      </c>
      <c r="B37" t="s">
        <v>153</v>
      </c>
      <c r="C37" t="s">
        <v>154</v>
      </c>
      <c r="D37" t="s">
        <v>155</v>
      </c>
      <c r="E37">
        <v>40631</v>
      </c>
      <c r="F37" t="s">
        <v>156</v>
      </c>
      <c r="G37">
        <v>1447238</v>
      </c>
      <c r="H37">
        <v>1147911</v>
      </c>
      <c r="I37">
        <v>37101196</v>
      </c>
      <c r="J37">
        <v>419872</v>
      </c>
      <c r="L37" t="s">
        <v>157</v>
      </c>
      <c r="M37" t="s">
        <v>158</v>
      </c>
      <c r="N37" t="s">
        <v>87</v>
      </c>
      <c r="O37" t="s">
        <v>159</v>
      </c>
      <c r="P37" t="s">
        <v>159</v>
      </c>
      <c r="Q37" t="s">
        <v>112</v>
      </c>
      <c r="R37" s="1">
        <v>46144</v>
      </c>
      <c r="S37" t="s">
        <v>160</v>
      </c>
      <c r="T37" t="s">
        <v>137</v>
      </c>
      <c r="U37">
        <v>24</v>
      </c>
      <c r="V37">
        <v>22</v>
      </c>
      <c r="W37" t="str">
        <f>"4.17"</f>
        <v>4.17</v>
      </c>
      <c r="X37" t="s">
        <v>185</v>
      </c>
      <c r="AA37" t="s">
        <v>94</v>
      </c>
      <c r="AB37" t="s">
        <v>95</v>
      </c>
      <c r="AC37" t="s">
        <v>96</v>
      </c>
      <c r="AD37" t="s">
        <v>95</v>
      </c>
      <c r="AE37" t="s">
        <v>95</v>
      </c>
      <c r="AF37" t="s">
        <v>95</v>
      </c>
      <c r="AN37" t="s">
        <v>95</v>
      </c>
      <c r="AQ37" s="1">
        <v>46055</v>
      </c>
      <c r="AS37">
        <v>5700</v>
      </c>
      <c r="AT37" t="s">
        <v>117</v>
      </c>
      <c r="AU37" t="s">
        <v>169</v>
      </c>
      <c r="AV37">
        <v>4882</v>
      </c>
      <c r="AW37">
        <v>4882</v>
      </c>
      <c r="AX37">
        <v>4882</v>
      </c>
      <c r="AY37">
        <v>0</v>
      </c>
      <c r="AZ37" t="s">
        <v>113</v>
      </c>
      <c r="BB37">
        <v>494263</v>
      </c>
      <c r="BC37" t="s">
        <v>99</v>
      </c>
      <c r="BD37" s="1">
        <v>46174</v>
      </c>
      <c r="BE37" t="s">
        <v>141</v>
      </c>
      <c r="BG37" t="s">
        <v>100</v>
      </c>
      <c r="BH37" t="str">
        <f t="shared" si="2"/>
        <v>720746049</v>
      </c>
      <c r="BI37" t="s">
        <v>101</v>
      </c>
      <c r="BJ37" t="s">
        <v>102</v>
      </c>
      <c r="BK37" t="s">
        <v>102</v>
      </c>
      <c r="BL37">
        <v>939147976</v>
      </c>
      <c r="BM37">
        <v>7242310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946390286</v>
      </c>
      <c r="BT37">
        <v>99.23</v>
      </c>
      <c r="BU37">
        <v>0.77</v>
      </c>
      <c r="BV37">
        <v>0</v>
      </c>
      <c r="BW37">
        <v>0</v>
      </c>
      <c r="BX37">
        <v>0</v>
      </c>
      <c r="BY37">
        <v>0</v>
      </c>
      <c r="BZ37">
        <v>0</v>
      </c>
    </row>
    <row r="38" spans="1:78">
      <c r="A38" t="s">
        <v>152</v>
      </c>
      <c r="B38" t="s">
        <v>153</v>
      </c>
      <c r="C38" t="s">
        <v>154</v>
      </c>
      <c r="D38" t="s">
        <v>155</v>
      </c>
      <c r="E38">
        <v>40631</v>
      </c>
      <c r="F38" t="s">
        <v>156</v>
      </c>
      <c r="G38">
        <v>1447238</v>
      </c>
      <c r="H38">
        <v>1147911</v>
      </c>
      <c r="I38">
        <v>37101196</v>
      </c>
      <c r="J38">
        <v>419872</v>
      </c>
      <c r="L38" t="s">
        <v>157</v>
      </c>
      <c r="M38" t="s">
        <v>158</v>
      </c>
      <c r="N38" t="s">
        <v>87</v>
      </c>
      <c r="O38" t="s">
        <v>159</v>
      </c>
      <c r="P38" t="s">
        <v>159</v>
      </c>
      <c r="Q38" t="s">
        <v>112</v>
      </c>
      <c r="R38" s="1">
        <v>46144</v>
      </c>
      <c r="S38" t="s">
        <v>160</v>
      </c>
      <c r="T38" t="s">
        <v>137</v>
      </c>
      <c r="U38">
        <v>25</v>
      </c>
      <c r="V38">
        <v>23</v>
      </c>
      <c r="W38" t="str">
        <f>"4.18"</f>
        <v>4.18</v>
      </c>
      <c r="X38" t="s">
        <v>186</v>
      </c>
      <c r="AA38" t="s">
        <v>94</v>
      </c>
      <c r="AB38" t="s">
        <v>95</v>
      </c>
      <c r="AC38" t="s">
        <v>96</v>
      </c>
      <c r="AD38" t="s">
        <v>95</v>
      </c>
      <c r="AE38" t="s">
        <v>95</v>
      </c>
      <c r="AF38" t="s">
        <v>95</v>
      </c>
      <c r="AN38" t="s">
        <v>95</v>
      </c>
      <c r="AQ38" s="1">
        <v>46055</v>
      </c>
      <c r="AS38">
        <v>5700</v>
      </c>
      <c r="AT38" t="s">
        <v>117</v>
      </c>
      <c r="AU38" t="s">
        <v>169</v>
      </c>
      <c r="AV38">
        <v>4882</v>
      </c>
      <c r="AW38">
        <v>4882</v>
      </c>
      <c r="AX38">
        <v>4882</v>
      </c>
      <c r="AY38">
        <v>0</v>
      </c>
      <c r="AZ38" t="s">
        <v>113</v>
      </c>
      <c r="BB38">
        <v>494263</v>
      </c>
      <c r="BC38" t="s">
        <v>99</v>
      </c>
      <c r="BD38" s="1">
        <v>46174</v>
      </c>
      <c r="BE38" t="s">
        <v>141</v>
      </c>
      <c r="BG38" t="s">
        <v>100</v>
      </c>
      <c r="BH38" t="str">
        <f t="shared" si="2"/>
        <v>720746049</v>
      </c>
      <c r="BI38" t="s">
        <v>101</v>
      </c>
      <c r="BJ38" t="s">
        <v>102</v>
      </c>
      <c r="BK38" t="s">
        <v>102</v>
      </c>
      <c r="BL38">
        <v>939145572</v>
      </c>
      <c r="BM38">
        <v>7235831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946381403</v>
      </c>
      <c r="BT38">
        <v>99.24</v>
      </c>
      <c r="BU38">
        <v>0.76</v>
      </c>
      <c r="BV38">
        <v>0</v>
      </c>
      <c r="BW38">
        <v>0</v>
      </c>
      <c r="BX38">
        <v>0</v>
      </c>
      <c r="BY38">
        <v>0</v>
      </c>
      <c r="BZ38">
        <v>0</v>
      </c>
    </row>
    <row r="39" spans="1:78">
      <c r="A39" t="s">
        <v>152</v>
      </c>
      <c r="B39" t="s">
        <v>153</v>
      </c>
      <c r="C39" t="s">
        <v>154</v>
      </c>
      <c r="D39" t="s">
        <v>155</v>
      </c>
      <c r="E39">
        <v>40631</v>
      </c>
      <c r="F39" t="s">
        <v>156</v>
      </c>
      <c r="G39">
        <v>1447238</v>
      </c>
      <c r="H39">
        <v>1147911</v>
      </c>
      <c r="I39">
        <v>37101196</v>
      </c>
      <c r="J39">
        <v>419872</v>
      </c>
      <c r="L39" t="s">
        <v>157</v>
      </c>
      <c r="M39" t="s">
        <v>158</v>
      </c>
      <c r="N39" t="s">
        <v>87</v>
      </c>
      <c r="O39" t="s">
        <v>159</v>
      </c>
      <c r="P39" t="s">
        <v>159</v>
      </c>
      <c r="Q39" t="s">
        <v>112</v>
      </c>
      <c r="R39" s="1">
        <v>46144</v>
      </c>
      <c r="S39" t="s">
        <v>160</v>
      </c>
      <c r="T39" t="s">
        <v>137</v>
      </c>
      <c r="U39">
        <v>26</v>
      </c>
      <c r="V39">
        <v>24</v>
      </c>
      <c r="W39" t="str">
        <f>"4.19"</f>
        <v>4.19</v>
      </c>
      <c r="X39" t="s">
        <v>187</v>
      </c>
      <c r="AA39" t="s">
        <v>94</v>
      </c>
      <c r="AB39" t="s">
        <v>95</v>
      </c>
      <c r="AC39" t="s">
        <v>96</v>
      </c>
      <c r="AD39" t="s">
        <v>95</v>
      </c>
      <c r="AE39" t="s">
        <v>95</v>
      </c>
      <c r="AF39" t="s">
        <v>95</v>
      </c>
      <c r="AN39" t="s">
        <v>95</v>
      </c>
      <c r="AQ39" s="1">
        <v>46055</v>
      </c>
      <c r="AS39">
        <v>5700</v>
      </c>
      <c r="AT39" t="s">
        <v>117</v>
      </c>
      <c r="AU39" t="s">
        <v>169</v>
      </c>
      <c r="AV39">
        <v>4882</v>
      </c>
      <c r="AW39">
        <v>4882</v>
      </c>
      <c r="AX39">
        <v>4882</v>
      </c>
      <c r="AY39">
        <v>0</v>
      </c>
      <c r="AZ39" t="s">
        <v>113</v>
      </c>
      <c r="BB39">
        <v>494263</v>
      </c>
      <c r="BC39" t="s">
        <v>99</v>
      </c>
      <c r="BD39" s="1">
        <v>46174</v>
      </c>
      <c r="BE39" t="s">
        <v>141</v>
      </c>
      <c r="BG39" t="s">
        <v>100</v>
      </c>
      <c r="BH39" t="str">
        <f t="shared" si="2"/>
        <v>720746049</v>
      </c>
      <c r="BI39" t="s">
        <v>101</v>
      </c>
      <c r="BJ39" t="s">
        <v>102</v>
      </c>
      <c r="BK39" t="s">
        <v>102</v>
      </c>
      <c r="BL39">
        <v>935345681</v>
      </c>
      <c r="BM39">
        <v>11045050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946390731</v>
      </c>
      <c r="BT39">
        <v>98.83</v>
      </c>
      <c r="BU39">
        <v>1.17</v>
      </c>
      <c r="BV39">
        <v>0</v>
      </c>
      <c r="BW39">
        <v>0</v>
      </c>
      <c r="BX39">
        <v>0</v>
      </c>
      <c r="BY39">
        <v>0</v>
      </c>
      <c r="BZ39">
        <v>0</v>
      </c>
    </row>
    <row r="40" spans="1:78">
      <c r="A40" t="s">
        <v>152</v>
      </c>
      <c r="B40" t="s">
        <v>153</v>
      </c>
      <c r="C40" t="s">
        <v>154</v>
      </c>
      <c r="D40" t="s">
        <v>155</v>
      </c>
      <c r="E40">
        <v>40631</v>
      </c>
      <c r="F40" t="s">
        <v>156</v>
      </c>
      <c r="G40">
        <v>1447238</v>
      </c>
      <c r="H40">
        <v>1147911</v>
      </c>
      <c r="I40">
        <v>37101196</v>
      </c>
      <c r="J40">
        <v>419872</v>
      </c>
      <c r="L40" t="s">
        <v>157</v>
      </c>
      <c r="M40" t="s">
        <v>158</v>
      </c>
      <c r="N40" t="s">
        <v>87</v>
      </c>
      <c r="O40" t="s">
        <v>159</v>
      </c>
      <c r="P40" t="s">
        <v>159</v>
      </c>
      <c r="Q40" t="s">
        <v>112</v>
      </c>
      <c r="R40" s="1">
        <v>46144</v>
      </c>
      <c r="S40" t="s">
        <v>160</v>
      </c>
      <c r="T40" t="s">
        <v>137</v>
      </c>
      <c r="U40">
        <v>27</v>
      </c>
      <c r="V40">
        <v>25</v>
      </c>
      <c r="W40" t="str">
        <f>"4.20"</f>
        <v>4.20</v>
      </c>
      <c r="X40" t="s">
        <v>188</v>
      </c>
      <c r="AA40" t="s">
        <v>94</v>
      </c>
      <c r="AB40" t="s">
        <v>95</v>
      </c>
      <c r="AC40" t="s">
        <v>96</v>
      </c>
      <c r="AD40" t="s">
        <v>95</v>
      </c>
      <c r="AE40" t="s">
        <v>95</v>
      </c>
      <c r="AF40" t="s">
        <v>95</v>
      </c>
      <c r="AN40" t="s">
        <v>95</v>
      </c>
      <c r="AQ40" s="1">
        <v>46055</v>
      </c>
      <c r="AS40">
        <v>5700</v>
      </c>
      <c r="AT40" t="s">
        <v>117</v>
      </c>
      <c r="AU40" t="s">
        <v>169</v>
      </c>
      <c r="AV40">
        <v>4882</v>
      </c>
      <c r="AW40">
        <v>4882</v>
      </c>
      <c r="AX40">
        <v>4882</v>
      </c>
      <c r="AY40">
        <v>0</v>
      </c>
      <c r="AZ40" t="s">
        <v>113</v>
      </c>
      <c r="BB40">
        <v>494263</v>
      </c>
      <c r="BC40" t="s">
        <v>99</v>
      </c>
      <c r="BD40" s="1">
        <v>46174</v>
      </c>
      <c r="BE40" t="s">
        <v>141</v>
      </c>
      <c r="BG40" t="s">
        <v>100</v>
      </c>
      <c r="BH40" t="str">
        <f t="shared" si="2"/>
        <v>720746049</v>
      </c>
      <c r="BI40" t="s">
        <v>101</v>
      </c>
      <c r="BJ40" t="s">
        <v>102</v>
      </c>
      <c r="BK40" t="s">
        <v>102</v>
      </c>
      <c r="BL40">
        <v>939134754</v>
      </c>
      <c r="BM40">
        <v>7245441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946380195</v>
      </c>
      <c r="BT40">
        <v>99.23</v>
      </c>
      <c r="BU40">
        <v>0.77</v>
      </c>
      <c r="BV40">
        <v>0</v>
      </c>
      <c r="BW40">
        <v>0</v>
      </c>
      <c r="BX40">
        <v>0</v>
      </c>
      <c r="BY40">
        <v>0</v>
      </c>
      <c r="BZ40">
        <v>0</v>
      </c>
    </row>
    <row r="41" spans="1:78">
      <c r="A41" t="s">
        <v>152</v>
      </c>
      <c r="B41" t="s">
        <v>153</v>
      </c>
      <c r="C41" t="s">
        <v>154</v>
      </c>
      <c r="D41" t="s">
        <v>155</v>
      </c>
      <c r="E41">
        <v>40631</v>
      </c>
      <c r="F41" t="s">
        <v>156</v>
      </c>
      <c r="G41">
        <v>1447238</v>
      </c>
      <c r="H41">
        <v>1147911</v>
      </c>
      <c r="I41">
        <v>37101196</v>
      </c>
      <c r="J41">
        <v>419872</v>
      </c>
      <c r="L41" t="s">
        <v>157</v>
      </c>
      <c r="M41" t="s">
        <v>158</v>
      </c>
      <c r="N41" t="s">
        <v>87</v>
      </c>
      <c r="O41" t="s">
        <v>159</v>
      </c>
      <c r="P41" t="s">
        <v>159</v>
      </c>
      <c r="Q41" t="s">
        <v>112</v>
      </c>
      <c r="R41" s="1">
        <v>46144</v>
      </c>
      <c r="S41" t="s">
        <v>160</v>
      </c>
      <c r="T41" t="s">
        <v>137</v>
      </c>
      <c r="U41">
        <v>28</v>
      </c>
      <c r="V41">
        <v>26</v>
      </c>
      <c r="W41" t="str">
        <f>"4.21"</f>
        <v>4.21</v>
      </c>
      <c r="X41" t="s">
        <v>189</v>
      </c>
      <c r="AA41" t="s">
        <v>94</v>
      </c>
      <c r="AB41" t="s">
        <v>95</v>
      </c>
      <c r="AC41" t="s">
        <v>96</v>
      </c>
      <c r="AD41" t="s">
        <v>95</v>
      </c>
      <c r="AE41" t="s">
        <v>95</v>
      </c>
      <c r="AF41" t="s">
        <v>95</v>
      </c>
      <c r="AN41" t="s">
        <v>95</v>
      </c>
      <c r="AQ41" s="1">
        <v>46055</v>
      </c>
      <c r="AS41">
        <v>5700</v>
      </c>
      <c r="AT41" t="s">
        <v>117</v>
      </c>
      <c r="AU41" t="s">
        <v>169</v>
      </c>
      <c r="AV41">
        <v>4882</v>
      </c>
      <c r="AW41">
        <v>4882</v>
      </c>
      <c r="AX41">
        <v>4882</v>
      </c>
      <c r="AY41">
        <v>0</v>
      </c>
      <c r="AZ41" t="s">
        <v>113</v>
      </c>
      <c r="BB41">
        <v>494263</v>
      </c>
      <c r="BC41" t="s">
        <v>99</v>
      </c>
      <c r="BD41" s="1">
        <v>46174</v>
      </c>
      <c r="BE41" t="s">
        <v>141</v>
      </c>
      <c r="BG41" t="s">
        <v>100</v>
      </c>
      <c r="BH41" t="str">
        <f t="shared" si="2"/>
        <v>720746049</v>
      </c>
      <c r="BI41" t="s">
        <v>101</v>
      </c>
      <c r="BJ41" t="s">
        <v>102</v>
      </c>
      <c r="BK41" t="s">
        <v>102</v>
      </c>
      <c r="BL41">
        <v>939134290</v>
      </c>
      <c r="BM41">
        <v>7241444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946375734</v>
      </c>
      <c r="BT41">
        <v>99.23</v>
      </c>
      <c r="BU41">
        <v>0.77</v>
      </c>
      <c r="BV41">
        <v>0</v>
      </c>
      <c r="BW41">
        <v>0</v>
      </c>
      <c r="BX41">
        <v>0</v>
      </c>
      <c r="BY41">
        <v>0</v>
      </c>
      <c r="BZ41">
        <v>0</v>
      </c>
    </row>
    <row r="42" spans="1:78">
      <c r="A42" t="s">
        <v>152</v>
      </c>
      <c r="B42" t="s">
        <v>153</v>
      </c>
      <c r="C42" t="s">
        <v>154</v>
      </c>
      <c r="D42" t="s">
        <v>155</v>
      </c>
      <c r="E42">
        <v>40631</v>
      </c>
      <c r="F42" t="s">
        <v>156</v>
      </c>
      <c r="G42">
        <v>1447238</v>
      </c>
      <c r="H42">
        <v>1147911</v>
      </c>
      <c r="I42">
        <v>37101196</v>
      </c>
      <c r="J42">
        <v>419872</v>
      </c>
      <c r="L42" t="s">
        <v>157</v>
      </c>
      <c r="M42" t="s">
        <v>158</v>
      </c>
      <c r="N42" t="s">
        <v>87</v>
      </c>
      <c r="O42" t="s">
        <v>159</v>
      </c>
      <c r="P42" t="s">
        <v>159</v>
      </c>
      <c r="Q42" t="s">
        <v>112</v>
      </c>
      <c r="R42" s="1">
        <v>46144</v>
      </c>
      <c r="S42" t="s">
        <v>160</v>
      </c>
      <c r="T42" t="s">
        <v>137</v>
      </c>
      <c r="U42">
        <v>29</v>
      </c>
      <c r="V42">
        <v>27</v>
      </c>
      <c r="W42" t="str">
        <f>"5.1"</f>
        <v>5.1</v>
      </c>
      <c r="X42" t="s">
        <v>190</v>
      </c>
      <c r="AA42" t="s">
        <v>94</v>
      </c>
      <c r="AB42" t="s">
        <v>95</v>
      </c>
      <c r="AC42" t="s">
        <v>96</v>
      </c>
      <c r="AD42" t="s">
        <v>95</v>
      </c>
      <c r="AE42" t="s">
        <v>95</v>
      </c>
      <c r="AF42" t="s">
        <v>95</v>
      </c>
      <c r="AN42" t="s">
        <v>95</v>
      </c>
      <c r="AQ42" s="1">
        <v>46055</v>
      </c>
      <c r="AS42">
        <v>5200</v>
      </c>
      <c r="AT42" t="s">
        <v>126</v>
      </c>
      <c r="AU42" t="s">
        <v>190</v>
      </c>
      <c r="AV42">
        <v>4882</v>
      </c>
      <c r="AW42">
        <v>4882</v>
      </c>
      <c r="AX42">
        <v>4882</v>
      </c>
      <c r="AY42">
        <v>0</v>
      </c>
      <c r="AZ42" t="s">
        <v>113</v>
      </c>
      <c r="BB42">
        <v>494263</v>
      </c>
      <c r="BC42" t="s">
        <v>99</v>
      </c>
      <c r="BD42" s="1">
        <v>46174</v>
      </c>
      <c r="BE42" t="s">
        <v>141</v>
      </c>
      <c r="BG42" t="s">
        <v>100</v>
      </c>
      <c r="BH42" t="str">
        <f t="shared" si="2"/>
        <v>720746049</v>
      </c>
      <c r="BI42" t="s">
        <v>101</v>
      </c>
      <c r="BJ42" t="s">
        <v>102</v>
      </c>
      <c r="BK42" t="s">
        <v>102</v>
      </c>
      <c r="BL42">
        <v>951025816</v>
      </c>
      <c r="BM42">
        <v>80417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951106233</v>
      </c>
      <c r="BT42">
        <v>99.99</v>
      </c>
      <c r="BU42">
        <v>0.01</v>
      </c>
      <c r="BV42">
        <v>0</v>
      </c>
      <c r="BW42">
        <v>0</v>
      </c>
      <c r="BX42">
        <v>0</v>
      </c>
      <c r="BY42">
        <v>0</v>
      </c>
      <c r="BZ42">
        <v>0</v>
      </c>
    </row>
    <row r="43" spans="1:78">
      <c r="A43" t="s">
        <v>152</v>
      </c>
      <c r="B43" t="s">
        <v>153</v>
      </c>
      <c r="C43" t="s">
        <v>154</v>
      </c>
      <c r="D43" t="s">
        <v>155</v>
      </c>
      <c r="E43">
        <v>40631</v>
      </c>
      <c r="F43" t="s">
        <v>156</v>
      </c>
      <c r="G43">
        <v>1447238</v>
      </c>
      <c r="H43">
        <v>1147911</v>
      </c>
      <c r="I43">
        <v>37101196</v>
      </c>
      <c r="J43">
        <v>419872</v>
      </c>
      <c r="L43" t="s">
        <v>157</v>
      </c>
      <c r="M43" t="s">
        <v>158</v>
      </c>
      <c r="N43" t="s">
        <v>87</v>
      </c>
      <c r="O43" t="s">
        <v>159</v>
      </c>
      <c r="P43" t="s">
        <v>159</v>
      </c>
      <c r="Q43" t="s">
        <v>112</v>
      </c>
      <c r="R43" s="1">
        <v>46144</v>
      </c>
      <c r="S43" t="s">
        <v>160</v>
      </c>
      <c r="T43" t="s">
        <v>137</v>
      </c>
      <c r="U43">
        <v>30</v>
      </c>
      <c r="V43">
        <v>28</v>
      </c>
      <c r="W43" t="str">
        <f>"5.2"</f>
        <v>5.2</v>
      </c>
      <c r="X43" t="s">
        <v>191</v>
      </c>
      <c r="AA43" t="s">
        <v>94</v>
      </c>
      <c r="AB43" t="s">
        <v>95</v>
      </c>
      <c r="AC43" t="s">
        <v>96</v>
      </c>
      <c r="AD43" t="s">
        <v>95</v>
      </c>
      <c r="AE43" t="s">
        <v>95</v>
      </c>
      <c r="AF43" t="s">
        <v>95</v>
      </c>
      <c r="AN43" t="s">
        <v>95</v>
      </c>
      <c r="AQ43" s="1">
        <v>46055</v>
      </c>
      <c r="AS43">
        <v>5210</v>
      </c>
      <c r="AT43" t="s">
        <v>126</v>
      </c>
      <c r="AU43" t="s">
        <v>192</v>
      </c>
      <c r="AV43">
        <v>4882</v>
      </c>
      <c r="AW43">
        <v>4882</v>
      </c>
      <c r="AX43">
        <v>4882</v>
      </c>
      <c r="AY43">
        <v>0</v>
      </c>
      <c r="AZ43" t="s">
        <v>113</v>
      </c>
      <c r="BB43">
        <v>494263</v>
      </c>
      <c r="BC43" t="s">
        <v>99</v>
      </c>
      <c r="BD43" s="1">
        <v>46174</v>
      </c>
      <c r="BE43" t="s">
        <v>141</v>
      </c>
      <c r="BG43" t="s">
        <v>100</v>
      </c>
      <c r="BH43" t="str">
        <f t="shared" si="2"/>
        <v>720746049</v>
      </c>
      <c r="BI43" t="s">
        <v>101</v>
      </c>
      <c r="BJ43" t="s">
        <v>102</v>
      </c>
      <c r="BK43" t="s">
        <v>102</v>
      </c>
      <c r="BL43">
        <v>950828386</v>
      </c>
      <c r="BM43">
        <v>278670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951107056</v>
      </c>
      <c r="BT43">
        <v>99.97</v>
      </c>
      <c r="BU43">
        <v>0.03</v>
      </c>
      <c r="BV43">
        <v>0</v>
      </c>
      <c r="BW43">
        <v>0</v>
      </c>
      <c r="BX43">
        <v>0</v>
      </c>
      <c r="BY43">
        <v>0</v>
      </c>
      <c r="BZ43">
        <v>0</v>
      </c>
    </row>
    <row r="44" spans="1:78">
      <c r="A44" t="s">
        <v>152</v>
      </c>
      <c r="B44" t="s">
        <v>153</v>
      </c>
      <c r="C44" t="s">
        <v>154</v>
      </c>
      <c r="D44" t="s">
        <v>155</v>
      </c>
      <c r="E44">
        <v>40631</v>
      </c>
      <c r="F44" t="s">
        <v>156</v>
      </c>
      <c r="G44">
        <v>1447238</v>
      </c>
      <c r="H44">
        <v>1147911</v>
      </c>
      <c r="I44">
        <v>37101196</v>
      </c>
      <c r="J44">
        <v>419872</v>
      </c>
      <c r="L44" t="s">
        <v>157</v>
      </c>
      <c r="M44" t="s">
        <v>158</v>
      </c>
      <c r="N44" t="s">
        <v>87</v>
      </c>
      <c r="O44" t="s">
        <v>159</v>
      </c>
      <c r="P44" t="s">
        <v>159</v>
      </c>
      <c r="Q44" t="s">
        <v>112</v>
      </c>
      <c r="R44" s="1">
        <v>46144</v>
      </c>
      <c r="S44" t="s">
        <v>160</v>
      </c>
      <c r="T44" t="s">
        <v>137</v>
      </c>
      <c r="U44">
        <v>31</v>
      </c>
      <c r="V44">
        <v>29</v>
      </c>
      <c r="W44" t="str">
        <f>"6"</f>
        <v>6</v>
      </c>
      <c r="X44" t="s">
        <v>193</v>
      </c>
      <c r="AA44" t="s">
        <v>94</v>
      </c>
      <c r="AB44" t="s">
        <v>95</v>
      </c>
      <c r="AC44" t="s">
        <v>96</v>
      </c>
      <c r="AD44" t="s">
        <v>95</v>
      </c>
      <c r="AE44" t="s">
        <v>95</v>
      </c>
      <c r="AF44" t="s">
        <v>123</v>
      </c>
      <c r="AN44" t="s">
        <v>123</v>
      </c>
      <c r="AO44" t="str">
        <f>"No transparency in sustainability linked remuneration."</f>
        <v>No transparency in sustainability linked remuneration.</v>
      </c>
      <c r="AQ44" s="1">
        <v>46055</v>
      </c>
      <c r="AS44">
        <v>5600</v>
      </c>
      <c r="AT44" t="s">
        <v>128</v>
      </c>
      <c r="AU44" t="s">
        <v>194</v>
      </c>
      <c r="AV44">
        <v>4882</v>
      </c>
      <c r="AW44">
        <v>4882</v>
      </c>
      <c r="AX44">
        <v>4882</v>
      </c>
      <c r="AY44">
        <v>0</v>
      </c>
      <c r="AZ44" t="s">
        <v>113</v>
      </c>
      <c r="BB44">
        <v>494263</v>
      </c>
      <c r="BC44" t="s">
        <v>99</v>
      </c>
      <c r="BD44" s="1">
        <v>46174</v>
      </c>
      <c r="BE44" t="s">
        <v>141</v>
      </c>
      <c r="BG44" t="s">
        <v>100</v>
      </c>
      <c r="BH44" t="str">
        <f t="shared" si="2"/>
        <v>720746049</v>
      </c>
      <c r="BI44" t="s">
        <v>101</v>
      </c>
      <c r="BJ44" t="s">
        <v>123</v>
      </c>
      <c r="BK44" t="s">
        <v>123</v>
      </c>
      <c r="BL44">
        <v>917555618</v>
      </c>
      <c r="BM44">
        <v>33326228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950881846</v>
      </c>
      <c r="BT44">
        <v>96.5</v>
      </c>
      <c r="BU44">
        <v>3.5</v>
      </c>
      <c r="BV44">
        <v>0</v>
      </c>
      <c r="BW44">
        <v>0</v>
      </c>
      <c r="BX44">
        <v>0</v>
      </c>
      <c r="BY44">
        <v>0</v>
      </c>
      <c r="BZ44">
        <v>0</v>
      </c>
    </row>
    <row r="45" spans="1:78">
      <c r="A45" t="s">
        <v>152</v>
      </c>
      <c r="B45" t="s">
        <v>153</v>
      </c>
      <c r="C45" t="s">
        <v>154</v>
      </c>
      <c r="D45" t="s">
        <v>155</v>
      </c>
      <c r="E45">
        <v>40631</v>
      </c>
      <c r="F45" t="s">
        <v>156</v>
      </c>
      <c r="G45">
        <v>1447238</v>
      </c>
      <c r="H45">
        <v>1147911</v>
      </c>
      <c r="I45">
        <v>37101196</v>
      </c>
      <c r="J45">
        <v>419872</v>
      </c>
      <c r="L45" t="s">
        <v>157</v>
      </c>
      <c r="M45" t="s">
        <v>158</v>
      </c>
      <c r="N45" t="s">
        <v>87</v>
      </c>
      <c r="O45" t="s">
        <v>159</v>
      </c>
      <c r="P45" t="s">
        <v>159</v>
      </c>
      <c r="Q45" t="s">
        <v>112</v>
      </c>
      <c r="R45" s="1">
        <v>46144</v>
      </c>
      <c r="S45" t="s">
        <v>160</v>
      </c>
      <c r="T45" t="s">
        <v>137</v>
      </c>
      <c r="U45">
        <v>32</v>
      </c>
      <c r="V45">
        <v>30</v>
      </c>
      <c r="W45" t="str">
        <f>"7"</f>
        <v>7</v>
      </c>
      <c r="X45" t="s">
        <v>195</v>
      </c>
      <c r="AA45" t="s">
        <v>94</v>
      </c>
      <c r="AB45" t="s">
        <v>95</v>
      </c>
      <c r="AC45" t="s">
        <v>96</v>
      </c>
      <c r="AD45" t="s">
        <v>123</v>
      </c>
      <c r="AE45" t="s">
        <v>123</v>
      </c>
      <c r="AF45" t="s">
        <v>123</v>
      </c>
      <c r="AN45" t="s">
        <v>123</v>
      </c>
      <c r="AO45" t="str">
        <f>"Adjustment is not in best interests of shareholders"</f>
        <v>Adjustment is not in best interests of shareholders</v>
      </c>
      <c r="AP45" t="str">
        <f>"Adjustment is not in best interests of shareholders"</f>
        <v>Adjustment is not in best interests of shareholders</v>
      </c>
      <c r="AQ45" s="1">
        <v>46055</v>
      </c>
      <c r="AS45">
        <v>6185</v>
      </c>
      <c r="AT45" t="s">
        <v>98</v>
      </c>
      <c r="AU45" t="s">
        <v>196</v>
      </c>
      <c r="AV45">
        <v>4882</v>
      </c>
      <c r="AW45">
        <v>4882</v>
      </c>
      <c r="AX45">
        <v>4882</v>
      </c>
      <c r="AY45">
        <v>0</v>
      </c>
      <c r="AZ45" t="s">
        <v>113</v>
      </c>
      <c r="BB45">
        <v>494263</v>
      </c>
      <c r="BC45" t="s">
        <v>99</v>
      </c>
      <c r="BD45" s="1">
        <v>46174</v>
      </c>
      <c r="BE45" t="s">
        <v>141</v>
      </c>
      <c r="BG45" t="s">
        <v>100</v>
      </c>
      <c r="BH45" t="str">
        <f t="shared" si="2"/>
        <v>720746049</v>
      </c>
      <c r="BI45" t="s">
        <v>101</v>
      </c>
      <c r="BJ45" t="s">
        <v>102</v>
      </c>
      <c r="BK45" t="s">
        <v>102</v>
      </c>
      <c r="BL45">
        <v>819116952</v>
      </c>
      <c r="BM45">
        <v>125435184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944552136</v>
      </c>
      <c r="BT45">
        <v>86.72</v>
      </c>
      <c r="BU45">
        <v>13.28</v>
      </c>
      <c r="BV45">
        <v>0</v>
      </c>
      <c r="BW45">
        <v>0</v>
      </c>
      <c r="BX45">
        <v>0</v>
      </c>
      <c r="BY45">
        <v>0</v>
      </c>
      <c r="BZ45">
        <v>0</v>
      </c>
    </row>
    <row r="46" spans="1:78">
      <c r="A46" t="s">
        <v>152</v>
      </c>
      <c r="B46" t="s">
        <v>153</v>
      </c>
      <c r="C46" t="s">
        <v>154</v>
      </c>
      <c r="D46" t="s">
        <v>155</v>
      </c>
      <c r="E46">
        <v>40631</v>
      </c>
      <c r="F46" t="s">
        <v>156</v>
      </c>
      <c r="G46">
        <v>1447238</v>
      </c>
      <c r="H46">
        <v>1147911</v>
      </c>
      <c r="I46">
        <v>37101196</v>
      </c>
      <c r="J46">
        <v>419872</v>
      </c>
      <c r="L46" t="s">
        <v>157</v>
      </c>
      <c r="M46" t="s">
        <v>158</v>
      </c>
      <c r="N46" t="s">
        <v>87</v>
      </c>
      <c r="O46" t="s">
        <v>159</v>
      </c>
      <c r="P46" t="s">
        <v>159</v>
      </c>
      <c r="Q46" t="s">
        <v>112</v>
      </c>
      <c r="R46" s="1">
        <v>46144</v>
      </c>
      <c r="S46" t="s">
        <v>160</v>
      </c>
      <c r="T46" t="s">
        <v>137</v>
      </c>
      <c r="U46">
        <v>33</v>
      </c>
      <c r="V46">
        <v>31</v>
      </c>
      <c r="W46" t="str">
        <f>"8"</f>
        <v>8</v>
      </c>
      <c r="X46" t="s">
        <v>197</v>
      </c>
      <c r="AA46" t="s">
        <v>94</v>
      </c>
      <c r="AB46" t="s">
        <v>95</v>
      </c>
      <c r="AC46" t="s">
        <v>96</v>
      </c>
      <c r="AD46" t="s">
        <v>123</v>
      </c>
      <c r="AE46" t="s">
        <v>123</v>
      </c>
      <c r="AF46" t="s">
        <v>123</v>
      </c>
      <c r="AN46" t="s">
        <v>123</v>
      </c>
      <c r="AO46" t="str">
        <f>"Potential dilution exceeds recommended threshold"</f>
        <v>Potential dilution exceeds recommended threshold</v>
      </c>
      <c r="AP46" t="str">
        <f>"Potential dilution exceeds recommended threshold"</f>
        <v>Potential dilution exceeds recommended threshold</v>
      </c>
      <c r="AQ46" s="1">
        <v>46055</v>
      </c>
      <c r="AS46">
        <v>5824</v>
      </c>
      <c r="AT46" t="s">
        <v>198</v>
      </c>
      <c r="AU46" t="s">
        <v>197</v>
      </c>
      <c r="AV46">
        <v>4882</v>
      </c>
      <c r="AW46">
        <v>4882</v>
      </c>
      <c r="AX46">
        <v>4882</v>
      </c>
      <c r="AY46">
        <v>0</v>
      </c>
      <c r="AZ46" t="s">
        <v>113</v>
      </c>
      <c r="BB46">
        <v>494263</v>
      </c>
      <c r="BC46" t="s">
        <v>99</v>
      </c>
      <c r="BD46" s="1">
        <v>46174</v>
      </c>
      <c r="BE46" t="s">
        <v>141</v>
      </c>
      <c r="BG46" t="s">
        <v>100</v>
      </c>
      <c r="BH46" t="str">
        <f t="shared" si="2"/>
        <v>720746049</v>
      </c>
      <c r="BI46" t="s">
        <v>101</v>
      </c>
      <c r="BJ46" t="s">
        <v>102</v>
      </c>
      <c r="BK46" t="s">
        <v>102</v>
      </c>
      <c r="BL46">
        <v>794897863</v>
      </c>
      <c r="BM46">
        <v>156198995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951096858</v>
      </c>
      <c r="BT46">
        <v>83.58</v>
      </c>
      <c r="BU46">
        <v>16.420000000000002</v>
      </c>
      <c r="BV46">
        <v>0</v>
      </c>
      <c r="BW46">
        <v>0</v>
      </c>
      <c r="BX46">
        <v>0</v>
      </c>
      <c r="BY46">
        <v>0</v>
      </c>
      <c r="BZ46">
        <v>0</v>
      </c>
    </row>
    <row r="47" spans="1:78">
      <c r="A47" t="s">
        <v>152</v>
      </c>
      <c r="B47" t="s">
        <v>153</v>
      </c>
      <c r="C47" t="s">
        <v>154</v>
      </c>
      <c r="D47" t="s">
        <v>155</v>
      </c>
      <c r="E47">
        <v>40631</v>
      </c>
      <c r="F47" t="s">
        <v>156</v>
      </c>
      <c r="G47">
        <v>1447238</v>
      </c>
      <c r="H47">
        <v>1147911</v>
      </c>
      <c r="I47">
        <v>37101196</v>
      </c>
      <c r="J47">
        <v>419872</v>
      </c>
      <c r="L47" t="s">
        <v>157</v>
      </c>
      <c r="M47" t="s">
        <v>158</v>
      </c>
      <c r="N47" t="s">
        <v>87</v>
      </c>
      <c r="O47" t="s">
        <v>159</v>
      </c>
      <c r="P47" t="s">
        <v>159</v>
      </c>
      <c r="Q47" t="s">
        <v>112</v>
      </c>
      <c r="R47" s="1">
        <v>46144</v>
      </c>
      <c r="S47" t="s">
        <v>160</v>
      </c>
      <c r="T47" t="s">
        <v>137</v>
      </c>
      <c r="U47">
        <v>34</v>
      </c>
      <c r="V47">
        <v>32</v>
      </c>
      <c r="W47" t="str">
        <f>"9"</f>
        <v>9</v>
      </c>
      <c r="X47" t="s">
        <v>199</v>
      </c>
      <c r="AA47" t="s">
        <v>94</v>
      </c>
      <c r="AB47" t="s">
        <v>95</v>
      </c>
      <c r="AC47" t="s">
        <v>96</v>
      </c>
      <c r="AD47" t="s">
        <v>123</v>
      </c>
      <c r="AE47" t="s">
        <v>123</v>
      </c>
      <c r="AF47" t="s">
        <v>95</v>
      </c>
      <c r="AN47" t="s">
        <v>95</v>
      </c>
      <c r="AO47" t="str">
        <f>"Potential dilution exceeds recommended threshold"</f>
        <v>Potential dilution exceeds recommended threshold</v>
      </c>
      <c r="AP47" t="str">
        <f>"Potential dilution exceeds recommended threshold"</f>
        <v>Potential dilution exceeds recommended threshold</v>
      </c>
      <c r="AQ47" s="1">
        <v>46055</v>
      </c>
      <c r="AS47">
        <v>5811</v>
      </c>
      <c r="AT47" t="s">
        <v>198</v>
      </c>
      <c r="AU47" t="s">
        <v>200</v>
      </c>
      <c r="AV47">
        <v>4882</v>
      </c>
      <c r="AW47">
        <v>4882</v>
      </c>
      <c r="AX47">
        <v>4882</v>
      </c>
      <c r="AY47">
        <v>0</v>
      </c>
      <c r="AZ47" t="s">
        <v>113</v>
      </c>
      <c r="BB47">
        <v>494263</v>
      </c>
      <c r="BC47" t="s">
        <v>99</v>
      </c>
      <c r="BD47" s="1">
        <v>46174</v>
      </c>
      <c r="BE47" t="s">
        <v>141</v>
      </c>
      <c r="BG47" t="s">
        <v>100</v>
      </c>
      <c r="BH47" t="str">
        <f t="shared" si="2"/>
        <v>720746049</v>
      </c>
      <c r="BI47" t="s">
        <v>101</v>
      </c>
      <c r="BJ47" t="s">
        <v>123</v>
      </c>
      <c r="BK47" t="s">
        <v>123</v>
      </c>
      <c r="BL47">
        <v>924135361</v>
      </c>
      <c r="BM47">
        <v>26952853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951088214</v>
      </c>
      <c r="BT47">
        <v>97.17</v>
      </c>
      <c r="BU47">
        <v>2.83</v>
      </c>
      <c r="BV47">
        <v>0</v>
      </c>
      <c r="BW47">
        <v>0</v>
      </c>
      <c r="BX47">
        <v>0</v>
      </c>
      <c r="BY47">
        <v>0</v>
      </c>
      <c r="BZ47">
        <v>0</v>
      </c>
    </row>
    <row r="48" spans="1:78">
      <c r="A48" t="s">
        <v>152</v>
      </c>
      <c r="B48" t="s">
        <v>153</v>
      </c>
      <c r="C48" t="s">
        <v>154</v>
      </c>
      <c r="D48" t="s">
        <v>155</v>
      </c>
      <c r="E48">
        <v>40631</v>
      </c>
      <c r="F48" t="s">
        <v>156</v>
      </c>
      <c r="G48">
        <v>1447238</v>
      </c>
      <c r="H48">
        <v>1147911</v>
      </c>
      <c r="I48">
        <v>37101196</v>
      </c>
      <c r="J48">
        <v>419872</v>
      </c>
      <c r="L48" t="s">
        <v>157</v>
      </c>
      <c r="M48" t="s">
        <v>158</v>
      </c>
      <c r="N48" t="s">
        <v>87</v>
      </c>
      <c r="O48" t="s">
        <v>159</v>
      </c>
      <c r="P48" t="s">
        <v>159</v>
      </c>
      <c r="Q48" t="s">
        <v>112</v>
      </c>
      <c r="R48" s="1">
        <v>46144</v>
      </c>
      <c r="S48" t="s">
        <v>160</v>
      </c>
      <c r="T48" t="s">
        <v>137</v>
      </c>
      <c r="U48">
        <v>35</v>
      </c>
      <c r="V48">
        <v>33</v>
      </c>
      <c r="W48" t="str">
        <f>"10"</f>
        <v>10</v>
      </c>
      <c r="X48" t="s">
        <v>201</v>
      </c>
      <c r="AA48" t="s">
        <v>94</v>
      </c>
      <c r="AB48" t="s">
        <v>95</v>
      </c>
      <c r="AC48" t="s">
        <v>96</v>
      </c>
      <c r="AD48" t="s">
        <v>95</v>
      </c>
      <c r="AE48" t="s">
        <v>95</v>
      </c>
      <c r="AF48" t="s">
        <v>95</v>
      </c>
      <c r="AN48" t="s">
        <v>95</v>
      </c>
      <c r="AQ48" s="1">
        <v>46055</v>
      </c>
      <c r="AS48">
        <v>5896</v>
      </c>
      <c r="AT48" t="s">
        <v>198</v>
      </c>
      <c r="AU48" t="s">
        <v>202</v>
      </c>
      <c r="AV48">
        <v>4882</v>
      </c>
      <c r="AW48">
        <v>4882</v>
      </c>
      <c r="AX48">
        <v>4882</v>
      </c>
      <c r="AY48">
        <v>0</v>
      </c>
      <c r="AZ48" t="s">
        <v>113</v>
      </c>
      <c r="BB48">
        <v>494263</v>
      </c>
      <c r="BC48" t="s">
        <v>99</v>
      </c>
      <c r="BD48" s="1">
        <v>46174</v>
      </c>
      <c r="BE48" t="s">
        <v>141</v>
      </c>
      <c r="BG48" t="s">
        <v>100</v>
      </c>
      <c r="BH48" t="str">
        <f t="shared" ref="BH48:BH83" si="3">"720746049"</f>
        <v>720746049</v>
      </c>
      <c r="BI48" t="s">
        <v>101</v>
      </c>
      <c r="BJ48" t="s">
        <v>102</v>
      </c>
      <c r="BK48" t="s">
        <v>102</v>
      </c>
      <c r="BL48">
        <v>943506364</v>
      </c>
      <c r="BM48">
        <v>7550130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951056494</v>
      </c>
      <c r="BT48">
        <v>99.21</v>
      </c>
      <c r="BU48">
        <v>0.79</v>
      </c>
      <c r="BV48">
        <v>0</v>
      </c>
      <c r="BW48">
        <v>0</v>
      </c>
      <c r="BX48">
        <v>0</v>
      </c>
      <c r="BY48">
        <v>0</v>
      </c>
      <c r="BZ48">
        <v>0</v>
      </c>
    </row>
    <row r="49" spans="1:78">
      <c r="A49" t="s">
        <v>152</v>
      </c>
      <c r="B49" t="s">
        <v>153</v>
      </c>
      <c r="C49" t="s">
        <v>154</v>
      </c>
      <c r="D49" t="s">
        <v>155</v>
      </c>
      <c r="E49">
        <v>40631</v>
      </c>
      <c r="F49" t="s">
        <v>156</v>
      </c>
      <c r="G49">
        <v>1447238</v>
      </c>
      <c r="H49">
        <v>1147911</v>
      </c>
      <c r="I49">
        <v>37101196</v>
      </c>
      <c r="J49">
        <v>419872</v>
      </c>
      <c r="L49" t="s">
        <v>157</v>
      </c>
      <c r="M49" t="s">
        <v>158</v>
      </c>
      <c r="N49" t="s">
        <v>87</v>
      </c>
      <c r="O49" t="s">
        <v>159</v>
      </c>
      <c r="P49" t="s">
        <v>159</v>
      </c>
      <c r="Q49" t="s">
        <v>112</v>
      </c>
      <c r="R49" s="1">
        <v>46144</v>
      </c>
      <c r="S49" t="s">
        <v>160</v>
      </c>
      <c r="T49" t="s">
        <v>137</v>
      </c>
      <c r="U49">
        <v>36</v>
      </c>
      <c r="V49">
        <v>34</v>
      </c>
      <c r="W49" t="str">
        <f>"11"</f>
        <v>11</v>
      </c>
      <c r="X49" t="s">
        <v>203</v>
      </c>
      <c r="AA49" t="s">
        <v>94</v>
      </c>
      <c r="AB49" t="s">
        <v>95</v>
      </c>
      <c r="AC49" t="s">
        <v>96</v>
      </c>
      <c r="AD49" t="s">
        <v>95</v>
      </c>
      <c r="AE49" t="s">
        <v>95</v>
      </c>
      <c r="AF49" t="s">
        <v>95</v>
      </c>
      <c r="AN49" t="s">
        <v>95</v>
      </c>
      <c r="AQ49" s="1">
        <v>46055</v>
      </c>
      <c r="AS49">
        <v>5838</v>
      </c>
      <c r="AT49" t="s">
        <v>198</v>
      </c>
      <c r="AU49" t="s">
        <v>204</v>
      </c>
      <c r="AV49">
        <v>4882</v>
      </c>
      <c r="AW49">
        <v>4882</v>
      </c>
      <c r="AX49">
        <v>4882</v>
      </c>
      <c r="AY49">
        <v>0</v>
      </c>
      <c r="AZ49" t="s">
        <v>113</v>
      </c>
      <c r="BB49">
        <v>494263</v>
      </c>
      <c r="BC49" t="s">
        <v>99</v>
      </c>
      <c r="BD49" s="1">
        <v>46174</v>
      </c>
      <c r="BE49" t="s">
        <v>141</v>
      </c>
      <c r="BG49" t="s">
        <v>100</v>
      </c>
      <c r="BH49" t="str">
        <f t="shared" si="3"/>
        <v>720746049</v>
      </c>
      <c r="BI49" t="s">
        <v>101</v>
      </c>
      <c r="BJ49" t="s">
        <v>102</v>
      </c>
      <c r="BK49" t="s">
        <v>102</v>
      </c>
      <c r="BL49">
        <v>946272960</v>
      </c>
      <c r="BM49">
        <v>4774066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951047026</v>
      </c>
      <c r="BT49">
        <v>99.5</v>
      </c>
      <c r="BU49">
        <v>0.5</v>
      </c>
      <c r="BV49">
        <v>0</v>
      </c>
      <c r="BW49">
        <v>0</v>
      </c>
      <c r="BX49">
        <v>0</v>
      </c>
      <c r="BY49">
        <v>0</v>
      </c>
      <c r="BZ49">
        <v>0</v>
      </c>
    </row>
    <row r="50" spans="1:78">
      <c r="A50" t="s">
        <v>205</v>
      </c>
      <c r="B50" t="s">
        <v>153</v>
      </c>
      <c r="C50" t="s">
        <v>154</v>
      </c>
      <c r="D50" t="s">
        <v>155</v>
      </c>
      <c r="E50">
        <v>40631</v>
      </c>
      <c r="F50" t="s">
        <v>156</v>
      </c>
      <c r="G50">
        <v>1447238</v>
      </c>
      <c r="H50">
        <v>1147911</v>
      </c>
      <c r="I50">
        <v>37101195</v>
      </c>
      <c r="J50">
        <v>419872</v>
      </c>
      <c r="L50" t="s">
        <v>157</v>
      </c>
      <c r="M50" t="s">
        <v>158</v>
      </c>
      <c r="N50" t="s">
        <v>87</v>
      </c>
      <c r="O50" t="s">
        <v>159</v>
      </c>
      <c r="P50" t="s">
        <v>159</v>
      </c>
      <c r="Q50" t="s">
        <v>112</v>
      </c>
      <c r="R50" s="1">
        <v>46144</v>
      </c>
      <c r="S50" t="s">
        <v>160</v>
      </c>
      <c r="T50" t="s">
        <v>137</v>
      </c>
      <c r="U50">
        <v>3</v>
      </c>
      <c r="V50">
        <v>1</v>
      </c>
      <c r="W50" t="str">
        <f>"2"</f>
        <v>2</v>
      </c>
      <c r="X50" t="s">
        <v>161</v>
      </c>
      <c r="AA50" t="s">
        <v>94</v>
      </c>
      <c r="AB50" t="s">
        <v>95</v>
      </c>
      <c r="AC50" t="s">
        <v>96</v>
      </c>
      <c r="AD50" t="s">
        <v>95</v>
      </c>
      <c r="AE50" t="s">
        <v>95</v>
      </c>
      <c r="AF50" t="s">
        <v>95</v>
      </c>
      <c r="AN50" t="s">
        <v>95</v>
      </c>
      <c r="AQ50" s="1">
        <v>46055</v>
      </c>
      <c r="AS50">
        <v>5000</v>
      </c>
      <c r="AT50" t="s">
        <v>126</v>
      </c>
      <c r="AU50" t="s">
        <v>162</v>
      </c>
      <c r="AV50">
        <v>5619</v>
      </c>
      <c r="AW50">
        <v>5619</v>
      </c>
      <c r="AX50">
        <v>5619</v>
      </c>
      <c r="AY50">
        <v>0</v>
      </c>
      <c r="AZ50" t="s">
        <v>113</v>
      </c>
      <c r="BB50">
        <v>494263</v>
      </c>
      <c r="BC50" t="s">
        <v>99</v>
      </c>
      <c r="BD50" s="1">
        <v>46174</v>
      </c>
      <c r="BE50" t="s">
        <v>141</v>
      </c>
      <c r="BG50" t="s">
        <v>100</v>
      </c>
      <c r="BH50" t="str">
        <f t="shared" si="3"/>
        <v>720746049</v>
      </c>
      <c r="BI50" t="s">
        <v>101</v>
      </c>
      <c r="BJ50" t="s">
        <v>102</v>
      </c>
      <c r="BK50" t="s">
        <v>102</v>
      </c>
      <c r="BL50">
        <v>950373959</v>
      </c>
      <c r="BM50">
        <v>741113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951115072</v>
      </c>
      <c r="BT50">
        <v>99.92</v>
      </c>
      <c r="BU50">
        <v>0.08</v>
      </c>
      <c r="BV50">
        <v>0</v>
      </c>
      <c r="BW50">
        <v>0</v>
      </c>
      <c r="BX50">
        <v>0</v>
      </c>
      <c r="BY50">
        <v>0</v>
      </c>
      <c r="BZ50">
        <v>0</v>
      </c>
    </row>
    <row r="51" spans="1:78">
      <c r="A51" t="s">
        <v>205</v>
      </c>
      <c r="B51" t="s">
        <v>153</v>
      </c>
      <c r="C51" t="s">
        <v>154</v>
      </c>
      <c r="D51" t="s">
        <v>155</v>
      </c>
      <c r="E51">
        <v>40631</v>
      </c>
      <c r="F51" t="s">
        <v>156</v>
      </c>
      <c r="G51">
        <v>1447238</v>
      </c>
      <c r="H51">
        <v>1147911</v>
      </c>
      <c r="I51">
        <v>37101195</v>
      </c>
      <c r="J51">
        <v>419872</v>
      </c>
      <c r="L51" t="s">
        <v>157</v>
      </c>
      <c r="M51" t="s">
        <v>158</v>
      </c>
      <c r="N51" t="s">
        <v>87</v>
      </c>
      <c r="O51" t="s">
        <v>159</v>
      </c>
      <c r="P51" t="s">
        <v>159</v>
      </c>
      <c r="Q51" t="s">
        <v>112</v>
      </c>
      <c r="R51" s="1">
        <v>46144</v>
      </c>
      <c r="S51" t="s">
        <v>160</v>
      </c>
      <c r="T51" t="s">
        <v>137</v>
      </c>
      <c r="U51">
        <v>4</v>
      </c>
      <c r="V51">
        <v>2</v>
      </c>
      <c r="W51" t="str">
        <f>"3.1"</f>
        <v>3.1</v>
      </c>
      <c r="X51" t="s">
        <v>163</v>
      </c>
      <c r="AA51" t="s">
        <v>94</v>
      </c>
      <c r="AB51" t="s">
        <v>95</v>
      </c>
      <c r="AC51" t="s">
        <v>96</v>
      </c>
      <c r="AD51" t="s">
        <v>95</v>
      </c>
      <c r="AE51" t="s">
        <v>95</v>
      </c>
      <c r="AF51" t="s">
        <v>95</v>
      </c>
      <c r="AN51" t="s">
        <v>95</v>
      </c>
      <c r="AQ51" s="1">
        <v>46055</v>
      </c>
      <c r="AS51">
        <v>5720</v>
      </c>
      <c r="AT51" t="s">
        <v>117</v>
      </c>
      <c r="AU51" t="s">
        <v>164</v>
      </c>
      <c r="AV51">
        <v>5619</v>
      </c>
      <c r="AW51">
        <v>5619</v>
      </c>
      <c r="AX51">
        <v>5619</v>
      </c>
      <c r="AY51">
        <v>0</v>
      </c>
      <c r="AZ51" t="s">
        <v>113</v>
      </c>
      <c r="BB51">
        <v>494263</v>
      </c>
      <c r="BC51" t="s">
        <v>99</v>
      </c>
      <c r="BD51" s="1">
        <v>46174</v>
      </c>
      <c r="BE51" t="s">
        <v>141</v>
      </c>
      <c r="BG51" t="s">
        <v>100</v>
      </c>
      <c r="BH51" t="str">
        <f t="shared" si="3"/>
        <v>720746049</v>
      </c>
      <c r="BI51" t="s">
        <v>101</v>
      </c>
      <c r="BJ51" t="s">
        <v>102</v>
      </c>
      <c r="BK51" t="s">
        <v>102</v>
      </c>
      <c r="BL51">
        <v>948884806</v>
      </c>
      <c r="BM51">
        <v>807905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949692711</v>
      </c>
      <c r="BT51">
        <v>99.91</v>
      </c>
      <c r="BU51">
        <v>0.09</v>
      </c>
      <c r="BV51">
        <v>0</v>
      </c>
      <c r="BW51">
        <v>0</v>
      </c>
      <c r="BX51">
        <v>0</v>
      </c>
      <c r="BY51">
        <v>0</v>
      </c>
      <c r="BZ51">
        <v>0</v>
      </c>
    </row>
    <row r="52" spans="1:78">
      <c r="A52" t="s">
        <v>205</v>
      </c>
      <c r="B52" t="s">
        <v>153</v>
      </c>
      <c r="C52" t="s">
        <v>154</v>
      </c>
      <c r="D52" t="s">
        <v>155</v>
      </c>
      <c r="E52">
        <v>40631</v>
      </c>
      <c r="F52" t="s">
        <v>156</v>
      </c>
      <c r="G52">
        <v>1447238</v>
      </c>
      <c r="H52">
        <v>1147911</v>
      </c>
      <c r="I52">
        <v>37101195</v>
      </c>
      <c r="J52">
        <v>419872</v>
      </c>
      <c r="L52" t="s">
        <v>157</v>
      </c>
      <c r="M52" t="s">
        <v>158</v>
      </c>
      <c r="N52" t="s">
        <v>87</v>
      </c>
      <c r="O52" t="s">
        <v>159</v>
      </c>
      <c r="P52" t="s">
        <v>159</v>
      </c>
      <c r="Q52" t="s">
        <v>112</v>
      </c>
      <c r="R52" s="1">
        <v>46144</v>
      </c>
      <c r="S52" t="s">
        <v>160</v>
      </c>
      <c r="T52" t="s">
        <v>137</v>
      </c>
      <c r="U52">
        <v>5</v>
      </c>
      <c r="V52">
        <v>3</v>
      </c>
      <c r="W52" t="str">
        <f>"3.2"</f>
        <v>3.2</v>
      </c>
      <c r="X52" t="s">
        <v>165</v>
      </c>
      <c r="AA52" t="s">
        <v>94</v>
      </c>
      <c r="AB52" t="s">
        <v>95</v>
      </c>
      <c r="AC52" t="s">
        <v>96</v>
      </c>
      <c r="AD52" t="s">
        <v>95</v>
      </c>
      <c r="AE52" t="s">
        <v>95</v>
      </c>
      <c r="AF52" t="s">
        <v>95</v>
      </c>
      <c r="AN52" t="s">
        <v>95</v>
      </c>
      <c r="AQ52" s="1">
        <v>46055</v>
      </c>
      <c r="AS52">
        <v>5720</v>
      </c>
      <c r="AT52" t="s">
        <v>117</v>
      </c>
      <c r="AU52" t="s">
        <v>164</v>
      </c>
      <c r="AV52">
        <v>5619</v>
      </c>
      <c r="AW52">
        <v>5619</v>
      </c>
      <c r="AX52">
        <v>5619</v>
      </c>
      <c r="AY52">
        <v>0</v>
      </c>
      <c r="AZ52" t="s">
        <v>113</v>
      </c>
      <c r="BB52">
        <v>494263</v>
      </c>
      <c r="BC52" t="s">
        <v>99</v>
      </c>
      <c r="BD52" s="1">
        <v>46174</v>
      </c>
      <c r="BE52" t="s">
        <v>141</v>
      </c>
      <c r="BG52" t="s">
        <v>100</v>
      </c>
      <c r="BH52" t="str">
        <f t="shared" si="3"/>
        <v>720746049</v>
      </c>
      <c r="BI52" t="s">
        <v>101</v>
      </c>
      <c r="BJ52" t="s">
        <v>102</v>
      </c>
      <c r="BK52" t="s">
        <v>102</v>
      </c>
      <c r="BL52">
        <v>948903203</v>
      </c>
      <c r="BM52">
        <v>800089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949703292</v>
      </c>
      <c r="BT52">
        <v>99.92</v>
      </c>
      <c r="BU52">
        <v>0.08</v>
      </c>
      <c r="BV52">
        <v>0</v>
      </c>
      <c r="BW52">
        <v>0</v>
      </c>
      <c r="BX52">
        <v>0</v>
      </c>
      <c r="BY52">
        <v>0</v>
      </c>
      <c r="BZ52">
        <v>0</v>
      </c>
    </row>
    <row r="53" spans="1:78">
      <c r="A53" t="s">
        <v>205</v>
      </c>
      <c r="B53" t="s">
        <v>153</v>
      </c>
      <c r="C53" t="s">
        <v>154</v>
      </c>
      <c r="D53" t="s">
        <v>155</v>
      </c>
      <c r="E53">
        <v>40631</v>
      </c>
      <c r="F53" t="s">
        <v>156</v>
      </c>
      <c r="G53">
        <v>1447238</v>
      </c>
      <c r="H53">
        <v>1147911</v>
      </c>
      <c r="I53">
        <v>37101195</v>
      </c>
      <c r="J53">
        <v>419872</v>
      </c>
      <c r="L53" t="s">
        <v>157</v>
      </c>
      <c r="M53" t="s">
        <v>158</v>
      </c>
      <c r="N53" t="s">
        <v>87</v>
      </c>
      <c r="O53" t="s">
        <v>159</v>
      </c>
      <c r="P53" t="s">
        <v>159</v>
      </c>
      <c r="Q53" t="s">
        <v>112</v>
      </c>
      <c r="R53" s="1">
        <v>46144</v>
      </c>
      <c r="S53" t="s">
        <v>160</v>
      </c>
      <c r="T53" t="s">
        <v>137</v>
      </c>
      <c r="U53">
        <v>6</v>
      </c>
      <c r="V53">
        <v>4</v>
      </c>
      <c r="W53" t="str">
        <f>"3.3"</f>
        <v>3.3</v>
      </c>
      <c r="X53" t="s">
        <v>166</v>
      </c>
      <c r="AA53" t="s">
        <v>94</v>
      </c>
      <c r="AB53" t="s">
        <v>95</v>
      </c>
      <c r="AC53" t="s">
        <v>96</v>
      </c>
      <c r="AD53" t="s">
        <v>95</v>
      </c>
      <c r="AE53" t="s">
        <v>95</v>
      </c>
      <c r="AF53" t="s">
        <v>95</v>
      </c>
      <c r="AN53" t="s">
        <v>95</v>
      </c>
      <c r="AQ53" s="1">
        <v>46055</v>
      </c>
      <c r="AS53">
        <v>5720</v>
      </c>
      <c r="AT53" t="s">
        <v>117</v>
      </c>
      <c r="AU53" t="s">
        <v>164</v>
      </c>
      <c r="AV53">
        <v>5619</v>
      </c>
      <c r="AW53">
        <v>5619</v>
      </c>
      <c r="AX53">
        <v>5619</v>
      </c>
      <c r="AY53">
        <v>0</v>
      </c>
      <c r="AZ53" t="s">
        <v>113</v>
      </c>
      <c r="BB53">
        <v>494263</v>
      </c>
      <c r="BC53" t="s">
        <v>99</v>
      </c>
      <c r="BD53" s="1">
        <v>46174</v>
      </c>
      <c r="BE53" t="s">
        <v>141</v>
      </c>
      <c r="BG53" t="s">
        <v>100</v>
      </c>
      <c r="BH53" t="str">
        <f t="shared" si="3"/>
        <v>720746049</v>
      </c>
      <c r="BI53" t="s">
        <v>101</v>
      </c>
      <c r="BJ53" t="s">
        <v>102</v>
      </c>
      <c r="BK53" t="s">
        <v>102</v>
      </c>
      <c r="BL53">
        <v>948975010</v>
      </c>
      <c r="BM53">
        <v>812901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949787911</v>
      </c>
      <c r="BT53">
        <v>99.91</v>
      </c>
      <c r="BU53">
        <v>0.09</v>
      </c>
      <c r="BV53">
        <v>0</v>
      </c>
      <c r="BW53">
        <v>0</v>
      </c>
      <c r="BX53">
        <v>0</v>
      </c>
      <c r="BY53">
        <v>0</v>
      </c>
      <c r="BZ53">
        <v>0</v>
      </c>
    </row>
    <row r="54" spans="1:78">
      <c r="A54" t="s">
        <v>205</v>
      </c>
      <c r="B54" t="s">
        <v>153</v>
      </c>
      <c r="C54" t="s">
        <v>154</v>
      </c>
      <c r="D54" t="s">
        <v>155</v>
      </c>
      <c r="E54">
        <v>40631</v>
      </c>
      <c r="F54" t="s">
        <v>156</v>
      </c>
      <c r="G54">
        <v>1447238</v>
      </c>
      <c r="H54">
        <v>1147911</v>
      </c>
      <c r="I54">
        <v>37101195</v>
      </c>
      <c r="J54">
        <v>419872</v>
      </c>
      <c r="L54" t="s">
        <v>157</v>
      </c>
      <c r="M54" t="s">
        <v>158</v>
      </c>
      <c r="N54" t="s">
        <v>87</v>
      </c>
      <c r="O54" t="s">
        <v>159</v>
      </c>
      <c r="P54" t="s">
        <v>159</v>
      </c>
      <c r="Q54" t="s">
        <v>112</v>
      </c>
      <c r="R54" s="1">
        <v>46144</v>
      </c>
      <c r="S54" t="s">
        <v>160</v>
      </c>
      <c r="T54" t="s">
        <v>137</v>
      </c>
      <c r="U54">
        <v>7</v>
      </c>
      <c r="V54">
        <v>5</v>
      </c>
      <c r="W54" t="str">
        <f>"3.4"</f>
        <v>3.4</v>
      </c>
      <c r="X54" t="s">
        <v>167</v>
      </c>
      <c r="AA54" t="s">
        <v>94</v>
      </c>
      <c r="AB54" t="s">
        <v>95</v>
      </c>
      <c r="AC54" t="s">
        <v>96</v>
      </c>
      <c r="AD54" t="s">
        <v>95</v>
      </c>
      <c r="AE54" t="s">
        <v>95</v>
      </c>
      <c r="AF54" t="s">
        <v>95</v>
      </c>
      <c r="AN54" t="s">
        <v>95</v>
      </c>
      <c r="AQ54" s="1">
        <v>46055</v>
      </c>
      <c r="AS54">
        <v>5720</v>
      </c>
      <c r="AT54" t="s">
        <v>117</v>
      </c>
      <c r="AU54" t="s">
        <v>164</v>
      </c>
      <c r="AV54">
        <v>5619</v>
      </c>
      <c r="AW54">
        <v>5619</v>
      </c>
      <c r="AX54">
        <v>5619</v>
      </c>
      <c r="AY54">
        <v>0</v>
      </c>
      <c r="AZ54" t="s">
        <v>113</v>
      </c>
      <c r="BB54">
        <v>494263</v>
      </c>
      <c r="BC54" t="s">
        <v>99</v>
      </c>
      <c r="BD54" s="1">
        <v>46174</v>
      </c>
      <c r="BE54" t="s">
        <v>141</v>
      </c>
      <c r="BG54" t="s">
        <v>100</v>
      </c>
      <c r="BH54" t="str">
        <f t="shared" si="3"/>
        <v>720746049</v>
      </c>
      <c r="BI54" t="s">
        <v>101</v>
      </c>
      <c r="BJ54" t="s">
        <v>102</v>
      </c>
      <c r="BK54" t="s">
        <v>102</v>
      </c>
      <c r="BL54">
        <v>948993338</v>
      </c>
      <c r="BM54">
        <v>800405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949793743</v>
      </c>
      <c r="BT54">
        <v>99.92</v>
      </c>
      <c r="BU54">
        <v>0.08</v>
      </c>
      <c r="BV54">
        <v>0</v>
      </c>
      <c r="BW54">
        <v>0</v>
      </c>
      <c r="BX54">
        <v>0</v>
      </c>
      <c r="BY54">
        <v>0</v>
      </c>
      <c r="BZ54">
        <v>0</v>
      </c>
    </row>
    <row r="55" spans="1:78">
      <c r="A55" t="s">
        <v>205</v>
      </c>
      <c r="B55" t="s">
        <v>153</v>
      </c>
      <c r="C55" t="s">
        <v>154</v>
      </c>
      <c r="D55" t="s">
        <v>155</v>
      </c>
      <c r="E55">
        <v>40631</v>
      </c>
      <c r="F55" t="s">
        <v>156</v>
      </c>
      <c r="G55">
        <v>1447238</v>
      </c>
      <c r="H55">
        <v>1147911</v>
      </c>
      <c r="I55">
        <v>37101195</v>
      </c>
      <c r="J55">
        <v>419872</v>
      </c>
      <c r="L55" t="s">
        <v>157</v>
      </c>
      <c r="M55" t="s">
        <v>158</v>
      </c>
      <c r="N55" t="s">
        <v>87</v>
      </c>
      <c r="O55" t="s">
        <v>159</v>
      </c>
      <c r="P55" t="s">
        <v>159</v>
      </c>
      <c r="Q55" t="s">
        <v>112</v>
      </c>
      <c r="R55" s="1">
        <v>46144</v>
      </c>
      <c r="S55" t="s">
        <v>160</v>
      </c>
      <c r="T55" t="s">
        <v>137</v>
      </c>
      <c r="U55">
        <v>8</v>
      </c>
      <c r="V55">
        <v>6</v>
      </c>
      <c r="W55" t="str">
        <f>"4.1"</f>
        <v>4.1</v>
      </c>
      <c r="X55" t="s">
        <v>168</v>
      </c>
      <c r="AA55" t="s">
        <v>94</v>
      </c>
      <c r="AB55" t="s">
        <v>95</v>
      </c>
      <c r="AC55" t="s">
        <v>96</v>
      </c>
      <c r="AD55" t="s">
        <v>95</v>
      </c>
      <c r="AE55" t="s">
        <v>95</v>
      </c>
      <c r="AF55" t="s">
        <v>123</v>
      </c>
      <c r="AN55" t="s">
        <v>123</v>
      </c>
      <c r="AO55" t="str">
        <f>"Company does not have &gt;50% independent directors; Board committees do not consist of a majority of independent non-executive directors; Frequency of director election &gt;2yrs"</f>
        <v>Company does not have &gt;50% independent directors; Board committees do not consist of a majority of independent non-executive directors; Frequency of director election &gt;2yrs</v>
      </c>
      <c r="AQ55" s="1">
        <v>46055</v>
      </c>
      <c r="AS55">
        <v>5700</v>
      </c>
      <c r="AT55" t="s">
        <v>117</v>
      </c>
      <c r="AU55" t="s">
        <v>169</v>
      </c>
      <c r="AV55">
        <v>5619</v>
      </c>
      <c r="AW55">
        <v>5619</v>
      </c>
      <c r="AX55">
        <v>5619</v>
      </c>
      <c r="AY55">
        <v>0</v>
      </c>
      <c r="AZ55" t="s">
        <v>113</v>
      </c>
      <c r="BB55">
        <v>494263</v>
      </c>
      <c r="BC55" t="s">
        <v>99</v>
      </c>
      <c r="BD55" s="1">
        <v>46174</v>
      </c>
      <c r="BE55" t="s">
        <v>141</v>
      </c>
      <c r="BG55" t="s">
        <v>100</v>
      </c>
      <c r="BH55" t="str">
        <f t="shared" si="3"/>
        <v>720746049</v>
      </c>
      <c r="BI55" t="s">
        <v>101</v>
      </c>
      <c r="BJ55" t="s">
        <v>123</v>
      </c>
      <c r="BK55" t="s">
        <v>123</v>
      </c>
      <c r="BL55">
        <v>932044282</v>
      </c>
      <c r="BM55">
        <v>14315674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946359956</v>
      </c>
      <c r="BT55">
        <v>98.49</v>
      </c>
      <c r="BU55">
        <v>1.51</v>
      </c>
      <c r="BV55">
        <v>0</v>
      </c>
      <c r="BW55">
        <v>0</v>
      </c>
      <c r="BX55">
        <v>0</v>
      </c>
      <c r="BY55">
        <v>0</v>
      </c>
      <c r="BZ55">
        <v>0</v>
      </c>
    </row>
    <row r="56" spans="1:78">
      <c r="A56" t="s">
        <v>205</v>
      </c>
      <c r="B56" t="s">
        <v>153</v>
      </c>
      <c r="C56" t="s">
        <v>154</v>
      </c>
      <c r="D56" t="s">
        <v>155</v>
      </c>
      <c r="E56">
        <v>40631</v>
      </c>
      <c r="F56" t="s">
        <v>156</v>
      </c>
      <c r="G56">
        <v>1447238</v>
      </c>
      <c r="H56">
        <v>1147911</v>
      </c>
      <c r="I56">
        <v>37101195</v>
      </c>
      <c r="J56">
        <v>419872</v>
      </c>
      <c r="L56" t="s">
        <v>157</v>
      </c>
      <c r="M56" t="s">
        <v>158</v>
      </c>
      <c r="N56" t="s">
        <v>87</v>
      </c>
      <c r="O56" t="s">
        <v>159</v>
      </c>
      <c r="P56" t="s">
        <v>159</v>
      </c>
      <c r="Q56" t="s">
        <v>112</v>
      </c>
      <c r="R56" s="1">
        <v>46144</v>
      </c>
      <c r="S56" t="s">
        <v>160</v>
      </c>
      <c r="T56" t="s">
        <v>137</v>
      </c>
      <c r="U56">
        <v>9</v>
      </c>
      <c r="V56">
        <v>7</v>
      </c>
      <c r="W56" t="str">
        <f>"4.2"</f>
        <v>4.2</v>
      </c>
      <c r="X56" t="s">
        <v>170</v>
      </c>
      <c r="AA56" t="s">
        <v>94</v>
      </c>
      <c r="AB56" t="s">
        <v>95</v>
      </c>
      <c r="AC56" t="s">
        <v>96</v>
      </c>
      <c r="AD56" t="s">
        <v>95</v>
      </c>
      <c r="AE56" t="s">
        <v>95</v>
      </c>
      <c r="AF56" t="s">
        <v>95</v>
      </c>
      <c r="AN56" t="s">
        <v>95</v>
      </c>
      <c r="AQ56" s="1">
        <v>46055</v>
      </c>
      <c r="AS56">
        <v>5700</v>
      </c>
      <c r="AT56" t="s">
        <v>117</v>
      </c>
      <c r="AU56" t="s">
        <v>169</v>
      </c>
      <c r="AV56">
        <v>5619</v>
      </c>
      <c r="AW56">
        <v>5619</v>
      </c>
      <c r="AX56">
        <v>5619</v>
      </c>
      <c r="AY56">
        <v>0</v>
      </c>
      <c r="AZ56" t="s">
        <v>113</v>
      </c>
      <c r="BB56">
        <v>494263</v>
      </c>
      <c r="BC56" t="s">
        <v>99</v>
      </c>
      <c r="BD56" s="1">
        <v>46174</v>
      </c>
      <c r="BE56" t="s">
        <v>141</v>
      </c>
      <c r="BG56" t="s">
        <v>100</v>
      </c>
      <c r="BH56" t="str">
        <f t="shared" si="3"/>
        <v>720746049</v>
      </c>
      <c r="BI56" t="s">
        <v>101</v>
      </c>
      <c r="BJ56" t="s">
        <v>102</v>
      </c>
      <c r="BK56" t="s">
        <v>102</v>
      </c>
      <c r="BL56">
        <v>939152505</v>
      </c>
      <c r="BM56">
        <v>7243399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946395904</v>
      </c>
      <c r="BT56">
        <v>99.23</v>
      </c>
      <c r="BU56">
        <v>0.77</v>
      </c>
      <c r="BV56">
        <v>0</v>
      </c>
      <c r="BW56">
        <v>0</v>
      </c>
      <c r="BX56">
        <v>0</v>
      </c>
      <c r="BY56">
        <v>0</v>
      </c>
      <c r="BZ56">
        <v>0</v>
      </c>
    </row>
    <row r="57" spans="1:78">
      <c r="A57" t="s">
        <v>205</v>
      </c>
      <c r="B57" t="s">
        <v>153</v>
      </c>
      <c r="C57" t="s">
        <v>154</v>
      </c>
      <c r="D57" t="s">
        <v>155</v>
      </c>
      <c r="E57">
        <v>40631</v>
      </c>
      <c r="F57" t="s">
        <v>156</v>
      </c>
      <c r="G57">
        <v>1447238</v>
      </c>
      <c r="H57">
        <v>1147911</v>
      </c>
      <c r="I57">
        <v>37101195</v>
      </c>
      <c r="J57">
        <v>419872</v>
      </c>
      <c r="L57" t="s">
        <v>157</v>
      </c>
      <c r="M57" t="s">
        <v>158</v>
      </c>
      <c r="N57" t="s">
        <v>87</v>
      </c>
      <c r="O57" t="s">
        <v>159</v>
      </c>
      <c r="P57" t="s">
        <v>159</v>
      </c>
      <c r="Q57" t="s">
        <v>112</v>
      </c>
      <c r="R57" s="1">
        <v>46144</v>
      </c>
      <c r="S57" t="s">
        <v>160</v>
      </c>
      <c r="T57" t="s">
        <v>137</v>
      </c>
      <c r="U57">
        <v>10</v>
      </c>
      <c r="V57">
        <v>8</v>
      </c>
      <c r="W57" t="str">
        <f>"4.3"</f>
        <v>4.3</v>
      </c>
      <c r="X57" t="s">
        <v>171</v>
      </c>
      <c r="AA57" t="s">
        <v>94</v>
      </c>
      <c r="AB57" t="s">
        <v>95</v>
      </c>
      <c r="AC57" t="s">
        <v>96</v>
      </c>
      <c r="AD57" t="s">
        <v>95</v>
      </c>
      <c r="AE57" t="s">
        <v>95</v>
      </c>
      <c r="AF57" t="s">
        <v>95</v>
      </c>
      <c r="AN57" t="s">
        <v>95</v>
      </c>
      <c r="AQ57" s="1">
        <v>46055</v>
      </c>
      <c r="AS57">
        <v>5700</v>
      </c>
      <c r="AT57" t="s">
        <v>117</v>
      </c>
      <c r="AU57" t="s">
        <v>169</v>
      </c>
      <c r="AV57">
        <v>5619</v>
      </c>
      <c r="AW57">
        <v>5619</v>
      </c>
      <c r="AX57">
        <v>5619</v>
      </c>
      <c r="AY57">
        <v>0</v>
      </c>
      <c r="AZ57" t="s">
        <v>113</v>
      </c>
      <c r="BB57">
        <v>494263</v>
      </c>
      <c r="BC57" t="s">
        <v>99</v>
      </c>
      <c r="BD57" s="1">
        <v>46174</v>
      </c>
      <c r="BE57" t="s">
        <v>141</v>
      </c>
      <c r="BG57" t="s">
        <v>100</v>
      </c>
      <c r="BH57" t="str">
        <f t="shared" si="3"/>
        <v>720746049</v>
      </c>
      <c r="BI57" t="s">
        <v>101</v>
      </c>
      <c r="BJ57" t="s">
        <v>102</v>
      </c>
      <c r="BK57" t="s">
        <v>102</v>
      </c>
      <c r="BL57">
        <v>939140811</v>
      </c>
      <c r="BM57">
        <v>7242534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946383345</v>
      </c>
      <c r="BT57">
        <v>99.23</v>
      </c>
      <c r="BU57">
        <v>0.77</v>
      </c>
      <c r="BV57">
        <v>0</v>
      </c>
      <c r="BW57">
        <v>0</v>
      </c>
      <c r="BX57">
        <v>0</v>
      </c>
      <c r="BY57">
        <v>0</v>
      </c>
      <c r="BZ57">
        <v>0</v>
      </c>
    </row>
    <row r="58" spans="1:78">
      <c r="A58" t="s">
        <v>205</v>
      </c>
      <c r="B58" t="s">
        <v>153</v>
      </c>
      <c r="C58" t="s">
        <v>154</v>
      </c>
      <c r="D58" t="s">
        <v>155</v>
      </c>
      <c r="E58">
        <v>40631</v>
      </c>
      <c r="F58" t="s">
        <v>156</v>
      </c>
      <c r="G58">
        <v>1447238</v>
      </c>
      <c r="H58">
        <v>1147911</v>
      </c>
      <c r="I58">
        <v>37101195</v>
      </c>
      <c r="J58">
        <v>419872</v>
      </c>
      <c r="L58" t="s">
        <v>157</v>
      </c>
      <c r="M58" t="s">
        <v>158</v>
      </c>
      <c r="N58" t="s">
        <v>87</v>
      </c>
      <c r="O58" t="s">
        <v>159</v>
      </c>
      <c r="P58" t="s">
        <v>159</v>
      </c>
      <c r="Q58" t="s">
        <v>112</v>
      </c>
      <c r="R58" s="1">
        <v>46144</v>
      </c>
      <c r="S58" t="s">
        <v>160</v>
      </c>
      <c r="T58" t="s">
        <v>137</v>
      </c>
      <c r="U58">
        <v>11</v>
      </c>
      <c r="V58">
        <v>9</v>
      </c>
      <c r="W58" t="str">
        <f>"4.4"</f>
        <v>4.4</v>
      </c>
      <c r="X58" t="s">
        <v>172</v>
      </c>
      <c r="AA58" t="s">
        <v>94</v>
      </c>
      <c r="AB58" t="s">
        <v>95</v>
      </c>
      <c r="AC58" t="s">
        <v>96</v>
      </c>
      <c r="AD58" t="s">
        <v>95</v>
      </c>
      <c r="AE58" t="s">
        <v>95</v>
      </c>
      <c r="AF58" t="s">
        <v>95</v>
      </c>
      <c r="AN58" t="s">
        <v>95</v>
      </c>
      <c r="AQ58" s="1">
        <v>46055</v>
      </c>
      <c r="AS58">
        <v>5700</v>
      </c>
      <c r="AT58" t="s">
        <v>117</v>
      </c>
      <c r="AU58" t="s">
        <v>169</v>
      </c>
      <c r="AV58">
        <v>5619</v>
      </c>
      <c r="AW58">
        <v>5619</v>
      </c>
      <c r="AX58">
        <v>5619</v>
      </c>
      <c r="AY58">
        <v>0</v>
      </c>
      <c r="AZ58" t="s">
        <v>113</v>
      </c>
      <c r="BB58">
        <v>494263</v>
      </c>
      <c r="BC58" t="s">
        <v>99</v>
      </c>
      <c r="BD58" s="1">
        <v>46174</v>
      </c>
      <c r="BE58" t="s">
        <v>141</v>
      </c>
      <c r="BG58" t="s">
        <v>100</v>
      </c>
      <c r="BH58" t="str">
        <f t="shared" si="3"/>
        <v>720746049</v>
      </c>
      <c r="BI58" t="s">
        <v>101</v>
      </c>
      <c r="BJ58" t="s">
        <v>102</v>
      </c>
      <c r="BK58" t="s">
        <v>102</v>
      </c>
      <c r="BL58">
        <v>939141431</v>
      </c>
      <c r="BM58">
        <v>7235640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946377071</v>
      </c>
      <c r="BT58">
        <v>99.24</v>
      </c>
      <c r="BU58">
        <v>0.76</v>
      </c>
      <c r="BV58">
        <v>0</v>
      </c>
      <c r="BW58">
        <v>0</v>
      </c>
      <c r="BX58">
        <v>0</v>
      </c>
      <c r="BY58">
        <v>0</v>
      </c>
      <c r="BZ58">
        <v>0</v>
      </c>
    </row>
    <row r="59" spans="1:78">
      <c r="A59" t="s">
        <v>205</v>
      </c>
      <c r="B59" t="s">
        <v>153</v>
      </c>
      <c r="C59" t="s">
        <v>154</v>
      </c>
      <c r="D59" t="s">
        <v>155</v>
      </c>
      <c r="E59">
        <v>40631</v>
      </c>
      <c r="F59" t="s">
        <v>156</v>
      </c>
      <c r="G59">
        <v>1447238</v>
      </c>
      <c r="H59">
        <v>1147911</v>
      </c>
      <c r="I59">
        <v>37101195</v>
      </c>
      <c r="J59">
        <v>419872</v>
      </c>
      <c r="L59" t="s">
        <v>157</v>
      </c>
      <c r="M59" t="s">
        <v>158</v>
      </c>
      <c r="N59" t="s">
        <v>87</v>
      </c>
      <c r="O59" t="s">
        <v>159</v>
      </c>
      <c r="P59" t="s">
        <v>159</v>
      </c>
      <c r="Q59" t="s">
        <v>112</v>
      </c>
      <c r="R59" s="1">
        <v>46144</v>
      </c>
      <c r="S59" t="s">
        <v>160</v>
      </c>
      <c r="T59" t="s">
        <v>137</v>
      </c>
      <c r="U59">
        <v>12</v>
      </c>
      <c r="V59">
        <v>10</v>
      </c>
      <c r="W59" t="str">
        <f>"4.5"</f>
        <v>4.5</v>
      </c>
      <c r="X59" t="s">
        <v>173</v>
      </c>
      <c r="AA59" t="s">
        <v>94</v>
      </c>
      <c r="AB59" t="s">
        <v>95</v>
      </c>
      <c r="AC59" t="s">
        <v>96</v>
      </c>
      <c r="AD59" t="s">
        <v>95</v>
      </c>
      <c r="AE59" t="s">
        <v>95</v>
      </c>
      <c r="AF59" t="s">
        <v>95</v>
      </c>
      <c r="AN59" t="s">
        <v>95</v>
      </c>
      <c r="AQ59" s="1">
        <v>46055</v>
      </c>
      <c r="AS59">
        <v>5700</v>
      </c>
      <c r="AT59" t="s">
        <v>117</v>
      </c>
      <c r="AU59" t="s">
        <v>169</v>
      </c>
      <c r="AV59">
        <v>5619</v>
      </c>
      <c r="AW59">
        <v>5619</v>
      </c>
      <c r="AX59">
        <v>5619</v>
      </c>
      <c r="AY59">
        <v>0</v>
      </c>
      <c r="AZ59" t="s">
        <v>113</v>
      </c>
      <c r="BB59">
        <v>494263</v>
      </c>
      <c r="BC59" t="s">
        <v>99</v>
      </c>
      <c r="BD59" s="1">
        <v>46174</v>
      </c>
      <c r="BE59" t="s">
        <v>141</v>
      </c>
      <c r="BG59" t="s">
        <v>100</v>
      </c>
      <c r="BH59" t="str">
        <f t="shared" si="3"/>
        <v>720746049</v>
      </c>
      <c r="BI59" t="s">
        <v>101</v>
      </c>
      <c r="BJ59" t="s">
        <v>102</v>
      </c>
      <c r="BK59" t="s">
        <v>102</v>
      </c>
      <c r="BL59">
        <v>934594265</v>
      </c>
      <c r="BM59">
        <v>11791593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946385858</v>
      </c>
      <c r="BT59">
        <v>98.75</v>
      </c>
      <c r="BU59">
        <v>1.25</v>
      </c>
      <c r="BV59">
        <v>0</v>
      </c>
      <c r="BW59">
        <v>0</v>
      </c>
      <c r="BX59">
        <v>0</v>
      </c>
      <c r="BY59">
        <v>0</v>
      </c>
      <c r="BZ59">
        <v>0</v>
      </c>
    </row>
    <row r="60" spans="1:78">
      <c r="A60" t="s">
        <v>205</v>
      </c>
      <c r="B60" t="s">
        <v>153</v>
      </c>
      <c r="C60" t="s">
        <v>154</v>
      </c>
      <c r="D60" t="s">
        <v>155</v>
      </c>
      <c r="E60">
        <v>40631</v>
      </c>
      <c r="F60" t="s">
        <v>156</v>
      </c>
      <c r="G60">
        <v>1447238</v>
      </c>
      <c r="H60">
        <v>1147911</v>
      </c>
      <c r="I60">
        <v>37101195</v>
      </c>
      <c r="J60">
        <v>419872</v>
      </c>
      <c r="L60" t="s">
        <v>157</v>
      </c>
      <c r="M60" t="s">
        <v>158</v>
      </c>
      <c r="N60" t="s">
        <v>87</v>
      </c>
      <c r="O60" t="s">
        <v>159</v>
      </c>
      <c r="P60" t="s">
        <v>159</v>
      </c>
      <c r="Q60" t="s">
        <v>112</v>
      </c>
      <c r="R60" s="1">
        <v>46144</v>
      </c>
      <c r="S60" t="s">
        <v>160</v>
      </c>
      <c r="T60" t="s">
        <v>137</v>
      </c>
      <c r="U60">
        <v>13</v>
      </c>
      <c r="V60">
        <v>11</v>
      </c>
      <c r="W60" t="str">
        <f>"4.6"</f>
        <v>4.6</v>
      </c>
      <c r="X60" t="s">
        <v>174</v>
      </c>
      <c r="AA60" t="s">
        <v>94</v>
      </c>
      <c r="AB60" t="s">
        <v>95</v>
      </c>
      <c r="AC60" t="s">
        <v>96</v>
      </c>
      <c r="AD60" t="s">
        <v>95</v>
      </c>
      <c r="AE60" t="s">
        <v>95</v>
      </c>
      <c r="AF60" t="s">
        <v>95</v>
      </c>
      <c r="AN60" t="s">
        <v>95</v>
      </c>
      <c r="AQ60" s="1">
        <v>46055</v>
      </c>
      <c r="AS60">
        <v>5700</v>
      </c>
      <c r="AT60" t="s">
        <v>117</v>
      </c>
      <c r="AU60" t="s">
        <v>169</v>
      </c>
      <c r="AV60">
        <v>5619</v>
      </c>
      <c r="AW60">
        <v>5619</v>
      </c>
      <c r="AX60">
        <v>5619</v>
      </c>
      <c r="AY60">
        <v>0</v>
      </c>
      <c r="AZ60" t="s">
        <v>113</v>
      </c>
      <c r="BB60">
        <v>494263</v>
      </c>
      <c r="BC60" t="s">
        <v>99</v>
      </c>
      <c r="BD60" s="1">
        <v>46174</v>
      </c>
      <c r="BE60" t="s">
        <v>141</v>
      </c>
      <c r="BG60" t="s">
        <v>100</v>
      </c>
      <c r="BH60" t="str">
        <f t="shared" si="3"/>
        <v>720746049</v>
      </c>
      <c r="BI60" t="s">
        <v>101</v>
      </c>
      <c r="BJ60" t="s">
        <v>102</v>
      </c>
      <c r="BK60" t="s">
        <v>102</v>
      </c>
      <c r="BL60">
        <v>939126947</v>
      </c>
      <c r="BM60">
        <v>7242275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946369222</v>
      </c>
      <c r="BT60">
        <v>99.23</v>
      </c>
      <c r="BU60">
        <v>0.77</v>
      </c>
      <c r="BV60">
        <v>0</v>
      </c>
      <c r="BW60">
        <v>0</v>
      </c>
      <c r="BX60">
        <v>0</v>
      </c>
      <c r="BY60">
        <v>0</v>
      </c>
      <c r="BZ60">
        <v>0</v>
      </c>
    </row>
    <row r="61" spans="1:78">
      <c r="A61" t="s">
        <v>205</v>
      </c>
      <c r="B61" t="s">
        <v>153</v>
      </c>
      <c r="C61" t="s">
        <v>154</v>
      </c>
      <c r="D61" t="s">
        <v>155</v>
      </c>
      <c r="E61">
        <v>40631</v>
      </c>
      <c r="F61" t="s">
        <v>156</v>
      </c>
      <c r="G61">
        <v>1447238</v>
      </c>
      <c r="H61">
        <v>1147911</v>
      </c>
      <c r="I61">
        <v>37101195</v>
      </c>
      <c r="J61">
        <v>419872</v>
      </c>
      <c r="L61" t="s">
        <v>157</v>
      </c>
      <c r="M61" t="s">
        <v>158</v>
      </c>
      <c r="N61" t="s">
        <v>87</v>
      </c>
      <c r="O61" t="s">
        <v>159</v>
      </c>
      <c r="P61" t="s">
        <v>159</v>
      </c>
      <c r="Q61" t="s">
        <v>112</v>
      </c>
      <c r="R61" s="1">
        <v>46144</v>
      </c>
      <c r="S61" t="s">
        <v>160</v>
      </c>
      <c r="T61" t="s">
        <v>137</v>
      </c>
      <c r="U61">
        <v>14</v>
      </c>
      <c r="V61">
        <v>12</v>
      </c>
      <c r="W61" t="str">
        <f>"4.7"</f>
        <v>4.7</v>
      </c>
      <c r="X61" t="s">
        <v>175</v>
      </c>
      <c r="AA61" t="s">
        <v>94</v>
      </c>
      <c r="AB61" t="s">
        <v>95</v>
      </c>
      <c r="AC61" t="s">
        <v>96</v>
      </c>
      <c r="AD61" t="s">
        <v>95</v>
      </c>
      <c r="AE61" t="s">
        <v>95</v>
      </c>
      <c r="AF61" t="s">
        <v>95</v>
      </c>
      <c r="AN61" t="s">
        <v>95</v>
      </c>
      <c r="AQ61" s="1">
        <v>46055</v>
      </c>
      <c r="AS61">
        <v>5700</v>
      </c>
      <c r="AT61" t="s">
        <v>117</v>
      </c>
      <c r="AU61" t="s">
        <v>169</v>
      </c>
      <c r="AV61">
        <v>5619</v>
      </c>
      <c r="AW61">
        <v>5619</v>
      </c>
      <c r="AX61">
        <v>5619</v>
      </c>
      <c r="AY61">
        <v>0</v>
      </c>
      <c r="AZ61" t="s">
        <v>113</v>
      </c>
      <c r="BB61">
        <v>494263</v>
      </c>
      <c r="BC61" t="s">
        <v>99</v>
      </c>
      <c r="BD61" s="1">
        <v>46174</v>
      </c>
      <c r="BE61" t="s">
        <v>141</v>
      </c>
      <c r="BG61" t="s">
        <v>100</v>
      </c>
      <c r="BH61" t="str">
        <f t="shared" si="3"/>
        <v>720746049</v>
      </c>
      <c r="BI61" t="s">
        <v>101</v>
      </c>
      <c r="BJ61" t="s">
        <v>102</v>
      </c>
      <c r="BK61" t="s">
        <v>102</v>
      </c>
      <c r="BL61">
        <v>935356247</v>
      </c>
      <c r="BM61">
        <v>11046807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946403054</v>
      </c>
      <c r="BT61">
        <v>98.83</v>
      </c>
      <c r="BU61">
        <v>1.17</v>
      </c>
      <c r="BV61">
        <v>0</v>
      </c>
      <c r="BW61">
        <v>0</v>
      </c>
      <c r="BX61">
        <v>0</v>
      </c>
      <c r="BY61">
        <v>0</v>
      </c>
      <c r="BZ61">
        <v>0</v>
      </c>
    </row>
    <row r="62" spans="1:78">
      <c r="A62" t="s">
        <v>205</v>
      </c>
      <c r="B62" t="s">
        <v>153</v>
      </c>
      <c r="C62" t="s">
        <v>154</v>
      </c>
      <c r="D62" t="s">
        <v>155</v>
      </c>
      <c r="E62">
        <v>40631</v>
      </c>
      <c r="F62" t="s">
        <v>156</v>
      </c>
      <c r="G62">
        <v>1447238</v>
      </c>
      <c r="H62">
        <v>1147911</v>
      </c>
      <c r="I62">
        <v>37101195</v>
      </c>
      <c r="J62">
        <v>419872</v>
      </c>
      <c r="L62" t="s">
        <v>157</v>
      </c>
      <c r="M62" t="s">
        <v>158</v>
      </c>
      <c r="N62" t="s">
        <v>87</v>
      </c>
      <c r="O62" t="s">
        <v>159</v>
      </c>
      <c r="P62" t="s">
        <v>159</v>
      </c>
      <c r="Q62" t="s">
        <v>112</v>
      </c>
      <c r="R62" s="1">
        <v>46144</v>
      </c>
      <c r="S62" t="s">
        <v>160</v>
      </c>
      <c r="T62" t="s">
        <v>137</v>
      </c>
      <c r="U62">
        <v>15</v>
      </c>
      <c r="V62">
        <v>13</v>
      </c>
      <c r="W62" t="str">
        <f>"4.8"</f>
        <v>4.8</v>
      </c>
      <c r="X62" t="s">
        <v>176</v>
      </c>
      <c r="AA62" t="s">
        <v>94</v>
      </c>
      <c r="AB62" t="s">
        <v>95</v>
      </c>
      <c r="AC62" t="s">
        <v>96</v>
      </c>
      <c r="AD62" t="s">
        <v>95</v>
      </c>
      <c r="AE62" t="s">
        <v>95</v>
      </c>
      <c r="AF62" t="s">
        <v>95</v>
      </c>
      <c r="AN62" t="s">
        <v>95</v>
      </c>
      <c r="AQ62" s="1">
        <v>46055</v>
      </c>
      <c r="AS62">
        <v>5700</v>
      </c>
      <c r="AT62" t="s">
        <v>117</v>
      </c>
      <c r="AU62" t="s">
        <v>169</v>
      </c>
      <c r="AV62">
        <v>5619</v>
      </c>
      <c r="AW62">
        <v>5619</v>
      </c>
      <c r="AX62">
        <v>5619</v>
      </c>
      <c r="AY62">
        <v>0</v>
      </c>
      <c r="AZ62" t="s">
        <v>113</v>
      </c>
      <c r="BB62">
        <v>494263</v>
      </c>
      <c r="BC62" t="s">
        <v>99</v>
      </c>
      <c r="BD62" s="1">
        <v>46174</v>
      </c>
      <c r="BE62" t="s">
        <v>141</v>
      </c>
      <c r="BG62" t="s">
        <v>100</v>
      </c>
      <c r="BH62" t="str">
        <f t="shared" si="3"/>
        <v>720746049</v>
      </c>
      <c r="BI62" t="s">
        <v>101</v>
      </c>
      <c r="BJ62" t="s">
        <v>102</v>
      </c>
      <c r="BK62" t="s">
        <v>102</v>
      </c>
      <c r="BL62">
        <v>939138274</v>
      </c>
      <c r="BM62">
        <v>7245793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946384067</v>
      </c>
      <c r="BT62">
        <v>99.23</v>
      </c>
      <c r="BU62">
        <v>0.77</v>
      </c>
      <c r="BV62">
        <v>0</v>
      </c>
      <c r="BW62">
        <v>0</v>
      </c>
      <c r="BX62">
        <v>0</v>
      </c>
      <c r="BY62">
        <v>0</v>
      </c>
      <c r="BZ62">
        <v>0</v>
      </c>
    </row>
    <row r="63" spans="1:78">
      <c r="A63" t="s">
        <v>205</v>
      </c>
      <c r="B63" t="s">
        <v>153</v>
      </c>
      <c r="C63" t="s">
        <v>154</v>
      </c>
      <c r="D63" t="s">
        <v>155</v>
      </c>
      <c r="E63">
        <v>40631</v>
      </c>
      <c r="F63" t="s">
        <v>156</v>
      </c>
      <c r="G63">
        <v>1447238</v>
      </c>
      <c r="H63">
        <v>1147911</v>
      </c>
      <c r="I63">
        <v>37101195</v>
      </c>
      <c r="J63">
        <v>419872</v>
      </c>
      <c r="L63" t="s">
        <v>157</v>
      </c>
      <c r="M63" t="s">
        <v>158</v>
      </c>
      <c r="N63" t="s">
        <v>87</v>
      </c>
      <c r="O63" t="s">
        <v>159</v>
      </c>
      <c r="P63" t="s">
        <v>159</v>
      </c>
      <c r="Q63" t="s">
        <v>112</v>
      </c>
      <c r="R63" s="1">
        <v>46144</v>
      </c>
      <c r="S63" t="s">
        <v>160</v>
      </c>
      <c r="T63" t="s">
        <v>137</v>
      </c>
      <c r="U63">
        <v>16</v>
      </c>
      <c r="V63">
        <v>14</v>
      </c>
      <c r="W63" t="str">
        <f>"4.9"</f>
        <v>4.9</v>
      </c>
      <c r="X63" t="s">
        <v>177</v>
      </c>
      <c r="AA63" t="s">
        <v>94</v>
      </c>
      <c r="AB63" t="s">
        <v>95</v>
      </c>
      <c r="AC63" t="s">
        <v>96</v>
      </c>
      <c r="AD63" t="s">
        <v>95</v>
      </c>
      <c r="AE63" t="s">
        <v>95</v>
      </c>
      <c r="AF63" t="s">
        <v>95</v>
      </c>
      <c r="AN63" t="s">
        <v>95</v>
      </c>
      <c r="AQ63" s="1">
        <v>46055</v>
      </c>
      <c r="AS63">
        <v>5700</v>
      </c>
      <c r="AT63" t="s">
        <v>117</v>
      </c>
      <c r="AU63" t="s">
        <v>169</v>
      </c>
      <c r="AV63">
        <v>5619</v>
      </c>
      <c r="AW63">
        <v>5619</v>
      </c>
      <c r="AX63">
        <v>5619</v>
      </c>
      <c r="AY63">
        <v>0</v>
      </c>
      <c r="AZ63" t="s">
        <v>113</v>
      </c>
      <c r="BB63">
        <v>494263</v>
      </c>
      <c r="BC63" t="s">
        <v>99</v>
      </c>
      <c r="BD63" s="1">
        <v>46174</v>
      </c>
      <c r="BE63" t="s">
        <v>141</v>
      </c>
      <c r="BG63" t="s">
        <v>100</v>
      </c>
      <c r="BH63" t="str">
        <f t="shared" si="3"/>
        <v>720746049</v>
      </c>
      <c r="BI63" t="s">
        <v>101</v>
      </c>
      <c r="BJ63" t="s">
        <v>102</v>
      </c>
      <c r="BK63" t="s">
        <v>102</v>
      </c>
      <c r="BL63">
        <v>939131038</v>
      </c>
      <c r="BM63">
        <v>7242653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946373691</v>
      </c>
      <c r="BT63">
        <v>99.23</v>
      </c>
      <c r="BU63">
        <v>0.77</v>
      </c>
      <c r="BV63">
        <v>0</v>
      </c>
      <c r="BW63">
        <v>0</v>
      </c>
      <c r="BX63">
        <v>0</v>
      </c>
      <c r="BY63">
        <v>0</v>
      </c>
      <c r="BZ63">
        <v>0</v>
      </c>
    </row>
    <row r="64" spans="1:78">
      <c r="A64" t="s">
        <v>205</v>
      </c>
      <c r="B64" t="s">
        <v>153</v>
      </c>
      <c r="C64" t="s">
        <v>154</v>
      </c>
      <c r="D64" t="s">
        <v>155</v>
      </c>
      <c r="E64">
        <v>40631</v>
      </c>
      <c r="F64" t="s">
        <v>156</v>
      </c>
      <c r="G64">
        <v>1447238</v>
      </c>
      <c r="H64">
        <v>1147911</v>
      </c>
      <c r="I64">
        <v>37101195</v>
      </c>
      <c r="J64">
        <v>419872</v>
      </c>
      <c r="L64" t="s">
        <v>157</v>
      </c>
      <c r="M64" t="s">
        <v>158</v>
      </c>
      <c r="N64" t="s">
        <v>87</v>
      </c>
      <c r="O64" t="s">
        <v>159</v>
      </c>
      <c r="P64" t="s">
        <v>159</v>
      </c>
      <c r="Q64" t="s">
        <v>112</v>
      </c>
      <c r="R64" s="1">
        <v>46144</v>
      </c>
      <c r="S64" t="s">
        <v>160</v>
      </c>
      <c r="T64" t="s">
        <v>137</v>
      </c>
      <c r="U64">
        <v>17</v>
      </c>
      <c r="V64">
        <v>15</v>
      </c>
      <c r="W64" t="str">
        <f>"4.10"</f>
        <v>4.10</v>
      </c>
      <c r="X64" t="s">
        <v>178</v>
      </c>
      <c r="AA64" t="s">
        <v>94</v>
      </c>
      <c r="AB64" t="s">
        <v>95</v>
      </c>
      <c r="AC64" t="s">
        <v>96</v>
      </c>
      <c r="AD64" t="s">
        <v>95</v>
      </c>
      <c r="AE64" t="s">
        <v>95</v>
      </c>
      <c r="AF64" t="s">
        <v>95</v>
      </c>
      <c r="AN64" t="s">
        <v>95</v>
      </c>
      <c r="AQ64" s="1">
        <v>46055</v>
      </c>
      <c r="AS64">
        <v>5700</v>
      </c>
      <c r="AT64" t="s">
        <v>117</v>
      </c>
      <c r="AU64" t="s">
        <v>169</v>
      </c>
      <c r="AV64">
        <v>5619</v>
      </c>
      <c r="AW64">
        <v>5619</v>
      </c>
      <c r="AX64">
        <v>5619</v>
      </c>
      <c r="AY64">
        <v>0</v>
      </c>
      <c r="AZ64" t="s">
        <v>113</v>
      </c>
      <c r="BB64">
        <v>494263</v>
      </c>
      <c r="BC64" t="s">
        <v>99</v>
      </c>
      <c r="BD64" s="1">
        <v>46174</v>
      </c>
      <c r="BE64" t="s">
        <v>141</v>
      </c>
      <c r="BG64" t="s">
        <v>100</v>
      </c>
      <c r="BH64" t="str">
        <f t="shared" si="3"/>
        <v>720746049</v>
      </c>
      <c r="BI64" t="s">
        <v>101</v>
      </c>
      <c r="BJ64" t="s">
        <v>102</v>
      </c>
      <c r="BK64" t="s">
        <v>102</v>
      </c>
      <c r="BL64">
        <v>939140934</v>
      </c>
      <c r="BM64">
        <v>7234610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946375544</v>
      </c>
      <c r="BT64">
        <v>99.24</v>
      </c>
      <c r="BU64">
        <v>0.76</v>
      </c>
      <c r="BV64">
        <v>0</v>
      </c>
      <c r="BW64">
        <v>0</v>
      </c>
      <c r="BX64">
        <v>0</v>
      </c>
      <c r="BY64">
        <v>0</v>
      </c>
      <c r="BZ64">
        <v>0</v>
      </c>
    </row>
    <row r="65" spans="1:78">
      <c r="A65" t="s">
        <v>205</v>
      </c>
      <c r="B65" t="s">
        <v>153</v>
      </c>
      <c r="C65" t="s">
        <v>154</v>
      </c>
      <c r="D65" t="s">
        <v>155</v>
      </c>
      <c r="E65">
        <v>40631</v>
      </c>
      <c r="F65" t="s">
        <v>156</v>
      </c>
      <c r="G65">
        <v>1447238</v>
      </c>
      <c r="H65">
        <v>1147911</v>
      </c>
      <c r="I65">
        <v>37101195</v>
      </c>
      <c r="J65">
        <v>419872</v>
      </c>
      <c r="L65" t="s">
        <v>157</v>
      </c>
      <c r="M65" t="s">
        <v>158</v>
      </c>
      <c r="N65" t="s">
        <v>87</v>
      </c>
      <c r="O65" t="s">
        <v>159</v>
      </c>
      <c r="P65" t="s">
        <v>159</v>
      </c>
      <c r="Q65" t="s">
        <v>112</v>
      </c>
      <c r="R65" s="1">
        <v>46144</v>
      </c>
      <c r="S65" t="s">
        <v>160</v>
      </c>
      <c r="T65" t="s">
        <v>137</v>
      </c>
      <c r="U65">
        <v>18</v>
      </c>
      <c r="V65">
        <v>16</v>
      </c>
      <c r="W65" t="str">
        <f>"4.11"</f>
        <v>4.11</v>
      </c>
      <c r="X65" t="s">
        <v>179</v>
      </c>
      <c r="AA65" t="s">
        <v>94</v>
      </c>
      <c r="AB65" t="s">
        <v>95</v>
      </c>
      <c r="AC65" t="s">
        <v>96</v>
      </c>
      <c r="AD65" t="s">
        <v>95</v>
      </c>
      <c r="AE65" t="s">
        <v>95</v>
      </c>
      <c r="AF65" t="s">
        <v>95</v>
      </c>
      <c r="AN65" t="s">
        <v>95</v>
      </c>
      <c r="AQ65" s="1">
        <v>46055</v>
      </c>
      <c r="AS65">
        <v>5700</v>
      </c>
      <c r="AT65" t="s">
        <v>117</v>
      </c>
      <c r="AU65" t="s">
        <v>169</v>
      </c>
      <c r="AV65">
        <v>5619</v>
      </c>
      <c r="AW65">
        <v>5619</v>
      </c>
      <c r="AX65">
        <v>5619</v>
      </c>
      <c r="AY65">
        <v>0</v>
      </c>
      <c r="AZ65" t="s">
        <v>113</v>
      </c>
      <c r="BB65">
        <v>494263</v>
      </c>
      <c r="BC65" t="s">
        <v>99</v>
      </c>
      <c r="BD65" s="1">
        <v>46174</v>
      </c>
      <c r="BE65" t="s">
        <v>141</v>
      </c>
      <c r="BG65" t="s">
        <v>100</v>
      </c>
      <c r="BH65" t="str">
        <f t="shared" si="3"/>
        <v>720746049</v>
      </c>
      <c r="BI65" t="s">
        <v>101</v>
      </c>
      <c r="BJ65" t="s">
        <v>102</v>
      </c>
      <c r="BK65" t="s">
        <v>102</v>
      </c>
      <c r="BL65">
        <v>939128139</v>
      </c>
      <c r="BM65">
        <v>7243641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946371780</v>
      </c>
      <c r="BT65">
        <v>99.23</v>
      </c>
      <c r="BU65">
        <v>0.77</v>
      </c>
      <c r="BV65">
        <v>0</v>
      </c>
      <c r="BW65">
        <v>0</v>
      </c>
      <c r="BX65">
        <v>0</v>
      </c>
      <c r="BY65">
        <v>0</v>
      </c>
      <c r="BZ65">
        <v>0</v>
      </c>
    </row>
    <row r="66" spans="1:78">
      <c r="A66" t="s">
        <v>205</v>
      </c>
      <c r="B66" t="s">
        <v>153</v>
      </c>
      <c r="C66" t="s">
        <v>154</v>
      </c>
      <c r="D66" t="s">
        <v>155</v>
      </c>
      <c r="E66">
        <v>40631</v>
      </c>
      <c r="F66" t="s">
        <v>156</v>
      </c>
      <c r="G66">
        <v>1447238</v>
      </c>
      <c r="H66">
        <v>1147911</v>
      </c>
      <c r="I66">
        <v>37101195</v>
      </c>
      <c r="J66">
        <v>419872</v>
      </c>
      <c r="L66" t="s">
        <v>157</v>
      </c>
      <c r="M66" t="s">
        <v>158</v>
      </c>
      <c r="N66" t="s">
        <v>87</v>
      </c>
      <c r="O66" t="s">
        <v>159</v>
      </c>
      <c r="P66" t="s">
        <v>159</v>
      </c>
      <c r="Q66" t="s">
        <v>112</v>
      </c>
      <c r="R66" s="1">
        <v>46144</v>
      </c>
      <c r="S66" t="s">
        <v>160</v>
      </c>
      <c r="T66" t="s">
        <v>137</v>
      </c>
      <c r="U66">
        <v>19</v>
      </c>
      <c r="V66">
        <v>17</v>
      </c>
      <c r="W66" t="str">
        <f>"4.12"</f>
        <v>4.12</v>
      </c>
      <c r="X66" t="s">
        <v>180</v>
      </c>
      <c r="AA66" t="s">
        <v>94</v>
      </c>
      <c r="AB66" t="s">
        <v>95</v>
      </c>
      <c r="AC66" t="s">
        <v>96</v>
      </c>
      <c r="AD66" t="s">
        <v>95</v>
      </c>
      <c r="AE66" t="s">
        <v>95</v>
      </c>
      <c r="AF66" t="s">
        <v>95</v>
      </c>
      <c r="AN66" t="s">
        <v>95</v>
      </c>
      <c r="AQ66" s="1">
        <v>46055</v>
      </c>
      <c r="AS66">
        <v>5700</v>
      </c>
      <c r="AT66" t="s">
        <v>117</v>
      </c>
      <c r="AU66" t="s">
        <v>169</v>
      </c>
      <c r="AV66">
        <v>5619</v>
      </c>
      <c r="AW66">
        <v>5619</v>
      </c>
      <c r="AX66">
        <v>5619</v>
      </c>
      <c r="AY66">
        <v>0</v>
      </c>
      <c r="AZ66" t="s">
        <v>113</v>
      </c>
      <c r="BB66">
        <v>494263</v>
      </c>
      <c r="BC66" t="s">
        <v>99</v>
      </c>
      <c r="BD66" s="1">
        <v>46174</v>
      </c>
      <c r="BE66" t="s">
        <v>141</v>
      </c>
      <c r="BG66" t="s">
        <v>100</v>
      </c>
      <c r="BH66" t="str">
        <f t="shared" si="3"/>
        <v>720746049</v>
      </c>
      <c r="BI66" t="s">
        <v>101</v>
      </c>
      <c r="BJ66" t="s">
        <v>102</v>
      </c>
      <c r="BK66" t="s">
        <v>102</v>
      </c>
      <c r="BL66">
        <v>939150559</v>
      </c>
      <c r="BM66">
        <v>7234582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946385141</v>
      </c>
      <c r="BT66">
        <v>99.24</v>
      </c>
      <c r="BU66">
        <v>0.76</v>
      </c>
      <c r="BV66">
        <v>0</v>
      </c>
      <c r="BW66">
        <v>0</v>
      </c>
      <c r="BX66">
        <v>0</v>
      </c>
      <c r="BY66">
        <v>0</v>
      </c>
      <c r="BZ66">
        <v>0</v>
      </c>
    </row>
    <row r="67" spans="1:78">
      <c r="A67" t="s">
        <v>205</v>
      </c>
      <c r="B67" t="s">
        <v>153</v>
      </c>
      <c r="C67" t="s">
        <v>154</v>
      </c>
      <c r="D67" t="s">
        <v>155</v>
      </c>
      <c r="E67">
        <v>40631</v>
      </c>
      <c r="F67" t="s">
        <v>156</v>
      </c>
      <c r="G67">
        <v>1447238</v>
      </c>
      <c r="H67">
        <v>1147911</v>
      </c>
      <c r="I67">
        <v>37101195</v>
      </c>
      <c r="J67">
        <v>419872</v>
      </c>
      <c r="L67" t="s">
        <v>157</v>
      </c>
      <c r="M67" t="s">
        <v>158</v>
      </c>
      <c r="N67" t="s">
        <v>87</v>
      </c>
      <c r="O67" t="s">
        <v>159</v>
      </c>
      <c r="P67" t="s">
        <v>159</v>
      </c>
      <c r="Q67" t="s">
        <v>112</v>
      </c>
      <c r="R67" s="1">
        <v>46144</v>
      </c>
      <c r="S67" t="s">
        <v>160</v>
      </c>
      <c r="T67" t="s">
        <v>137</v>
      </c>
      <c r="U67">
        <v>20</v>
      </c>
      <c r="V67">
        <v>18</v>
      </c>
      <c r="W67" t="str">
        <f>"4.13"</f>
        <v>4.13</v>
      </c>
      <c r="X67" t="s">
        <v>181</v>
      </c>
      <c r="AA67" t="s">
        <v>94</v>
      </c>
      <c r="AB67" t="s">
        <v>95</v>
      </c>
      <c r="AC67" t="s">
        <v>96</v>
      </c>
      <c r="AD67" t="s">
        <v>95</v>
      </c>
      <c r="AE67" t="s">
        <v>95</v>
      </c>
      <c r="AF67" t="s">
        <v>95</v>
      </c>
      <c r="AN67" t="s">
        <v>95</v>
      </c>
      <c r="AQ67" s="1">
        <v>46055</v>
      </c>
      <c r="AS67">
        <v>5700</v>
      </c>
      <c r="AT67" t="s">
        <v>117</v>
      </c>
      <c r="AU67" t="s">
        <v>169</v>
      </c>
      <c r="AV67">
        <v>5619</v>
      </c>
      <c r="AW67">
        <v>5619</v>
      </c>
      <c r="AX67">
        <v>5619</v>
      </c>
      <c r="AY67">
        <v>0</v>
      </c>
      <c r="AZ67" t="s">
        <v>113</v>
      </c>
      <c r="BB67">
        <v>494263</v>
      </c>
      <c r="BC67" t="s">
        <v>99</v>
      </c>
      <c r="BD67" s="1">
        <v>46174</v>
      </c>
      <c r="BE67" t="s">
        <v>141</v>
      </c>
      <c r="BG67" t="s">
        <v>100</v>
      </c>
      <c r="BH67" t="str">
        <f t="shared" si="3"/>
        <v>720746049</v>
      </c>
      <c r="BI67" t="s">
        <v>101</v>
      </c>
      <c r="BJ67" t="s">
        <v>102</v>
      </c>
      <c r="BK67" t="s">
        <v>102</v>
      </c>
      <c r="BL67">
        <v>935336382</v>
      </c>
      <c r="BM67">
        <v>11039719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946376101</v>
      </c>
      <c r="BT67">
        <v>98.83</v>
      </c>
      <c r="BU67">
        <v>1.17</v>
      </c>
      <c r="BV67">
        <v>0</v>
      </c>
      <c r="BW67">
        <v>0</v>
      </c>
      <c r="BX67">
        <v>0</v>
      </c>
      <c r="BY67">
        <v>0</v>
      </c>
      <c r="BZ67">
        <v>0</v>
      </c>
    </row>
    <row r="68" spans="1:78">
      <c r="A68" t="s">
        <v>205</v>
      </c>
      <c r="B68" t="s">
        <v>153</v>
      </c>
      <c r="C68" t="s">
        <v>154</v>
      </c>
      <c r="D68" t="s">
        <v>155</v>
      </c>
      <c r="E68">
        <v>40631</v>
      </c>
      <c r="F68" t="s">
        <v>156</v>
      </c>
      <c r="G68">
        <v>1447238</v>
      </c>
      <c r="H68">
        <v>1147911</v>
      </c>
      <c r="I68">
        <v>37101195</v>
      </c>
      <c r="J68">
        <v>419872</v>
      </c>
      <c r="L68" t="s">
        <v>157</v>
      </c>
      <c r="M68" t="s">
        <v>158</v>
      </c>
      <c r="N68" t="s">
        <v>87</v>
      </c>
      <c r="O68" t="s">
        <v>159</v>
      </c>
      <c r="P68" t="s">
        <v>159</v>
      </c>
      <c r="Q68" t="s">
        <v>112</v>
      </c>
      <c r="R68" s="1">
        <v>46144</v>
      </c>
      <c r="S68" t="s">
        <v>160</v>
      </c>
      <c r="T68" t="s">
        <v>137</v>
      </c>
      <c r="U68">
        <v>21</v>
      </c>
      <c r="V68">
        <v>19</v>
      </c>
      <c r="W68" t="str">
        <f>"4.14"</f>
        <v>4.14</v>
      </c>
      <c r="X68" t="s">
        <v>182</v>
      </c>
      <c r="AA68" t="s">
        <v>94</v>
      </c>
      <c r="AB68" t="s">
        <v>95</v>
      </c>
      <c r="AC68" t="s">
        <v>96</v>
      </c>
      <c r="AD68" t="s">
        <v>95</v>
      </c>
      <c r="AE68" t="s">
        <v>95</v>
      </c>
      <c r="AF68" t="s">
        <v>95</v>
      </c>
      <c r="AN68" t="s">
        <v>95</v>
      </c>
      <c r="AQ68" s="1">
        <v>46055</v>
      </c>
      <c r="AS68">
        <v>5700</v>
      </c>
      <c r="AT68" t="s">
        <v>117</v>
      </c>
      <c r="AU68" t="s">
        <v>169</v>
      </c>
      <c r="AV68">
        <v>5619</v>
      </c>
      <c r="AW68">
        <v>5619</v>
      </c>
      <c r="AX68">
        <v>5619</v>
      </c>
      <c r="AY68">
        <v>0</v>
      </c>
      <c r="AZ68" t="s">
        <v>113</v>
      </c>
      <c r="BB68">
        <v>494263</v>
      </c>
      <c r="BC68" t="s">
        <v>99</v>
      </c>
      <c r="BD68" s="1">
        <v>46174</v>
      </c>
      <c r="BE68" t="s">
        <v>141</v>
      </c>
      <c r="BG68" t="s">
        <v>100</v>
      </c>
      <c r="BH68" t="str">
        <f t="shared" si="3"/>
        <v>720746049</v>
      </c>
      <c r="BI68" t="s">
        <v>101</v>
      </c>
      <c r="BJ68" t="s">
        <v>102</v>
      </c>
      <c r="BK68" t="s">
        <v>102</v>
      </c>
      <c r="BL68">
        <v>939132851</v>
      </c>
      <c r="BM68">
        <v>7242441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946375292</v>
      </c>
      <c r="BT68">
        <v>99.23</v>
      </c>
      <c r="BU68">
        <v>0.77</v>
      </c>
      <c r="BV68">
        <v>0</v>
      </c>
      <c r="BW68">
        <v>0</v>
      </c>
      <c r="BX68">
        <v>0</v>
      </c>
      <c r="BY68">
        <v>0</v>
      </c>
      <c r="BZ68">
        <v>0</v>
      </c>
    </row>
    <row r="69" spans="1:78">
      <c r="A69" t="s">
        <v>205</v>
      </c>
      <c r="B69" t="s">
        <v>153</v>
      </c>
      <c r="C69" t="s">
        <v>154</v>
      </c>
      <c r="D69" t="s">
        <v>155</v>
      </c>
      <c r="E69">
        <v>40631</v>
      </c>
      <c r="F69" t="s">
        <v>156</v>
      </c>
      <c r="G69">
        <v>1447238</v>
      </c>
      <c r="H69">
        <v>1147911</v>
      </c>
      <c r="I69">
        <v>37101195</v>
      </c>
      <c r="J69">
        <v>419872</v>
      </c>
      <c r="L69" t="s">
        <v>157</v>
      </c>
      <c r="M69" t="s">
        <v>158</v>
      </c>
      <c r="N69" t="s">
        <v>87</v>
      </c>
      <c r="O69" t="s">
        <v>159</v>
      </c>
      <c r="P69" t="s">
        <v>159</v>
      </c>
      <c r="Q69" t="s">
        <v>112</v>
      </c>
      <c r="R69" s="1">
        <v>46144</v>
      </c>
      <c r="S69" t="s">
        <v>160</v>
      </c>
      <c r="T69" t="s">
        <v>137</v>
      </c>
      <c r="U69">
        <v>22</v>
      </c>
      <c r="V69">
        <v>20</v>
      </c>
      <c r="W69" t="str">
        <f>"4.15"</f>
        <v>4.15</v>
      </c>
      <c r="X69" t="s">
        <v>183</v>
      </c>
      <c r="AA69" t="s">
        <v>94</v>
      </c>
      <c r="AB69" t="s">
        <v>95</v>
      </c>
      <c r="AC69" t="s">
        <v>96</v>
      </c>
      <c r="AD69" t="s">
        <v>95</v>
      </c>
      <c r="AE69" t="s">
        <v>95</v>
      </c>
      <c r="AF69" t="s">
        <v>95</v>
      </c>
      <c r="AN69" t="s">
        <v>95</v>
      </c>
      <c r="AQ69" s="1">
        <v>46055</v>
      </c>
      <c r="AS69">
        <v>5700</v>
      </c>
      <c r="AT69" t="s">
        <v>117</v>
      </c>
      <c r="AU69" t="s">
        <v>169</v>
      </c>
      <c r="AV69">
        <v>5619</v>
      </c>
      <c r="AW69">
        <v>5619</v>
      </c>
      <c r="AX69">
        <v>5619</v>
      </c>
      <c r="AY69">
        <v>0</v>
      </c>
      <c r="AZ69" t="s">
        <v>113</v>
      </c>
      <c r="BB69">
        <v>494263</v>
      </c>
      <c r="BC69" t="s">
        <v>99</v>
      </c>
      <c r="BD69" s="1">
        <v>46174</v>
      </c>
      <c r="BE69" t="s">
        <v>141</v>
      </c>
      <c r="BG69" t="s">
        <v>100</v>
      </c>
      <c r="BH69" t="str">
        <f t="shared" si="3"/>
        <v>720746049</v>
      </c>
      <c r="BI69" t="s">
        <v>101</v>
      </c>
      <c r="BJ69" t="s">
        <v>102</v>
      </c>
      <c r="BK69" t="s">
        <v>102</v>
      </c>
      <c r="BL69">
        <v>939142224</v>
      </c>
      <c r="BM69">
        <v>7236031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946378255</v>
      </c>
      <c r="BT69">
        <v>99.24</v>
      </c>
      <c r="BU69">
        <v>0.76</v>
      </c>
      <c r="BV69">
        <v>0</v>
      </c>
      <c r="BW69">
        <v>0</v>
      </c>
      <c r="BX69">
        <v>0</v>
      </c>
      <c r="BY69">
        <v>0</v>
      </c>
      <c r="BZ69">
        <v>0</v>
      </c>
    </row>
    <row r="70" spans="1:78">
      <c r="A70" t="s">
        <v>205</v>
      </c>
      <c r="B70" t="s">
        <v>153</v>
      </c>
      <c r="C70" t="s">
        <v>154</v>
      </c>
      <c r="D70" t="s">
        <v>155</v>
      </c>
      <c r="E70">
        <v>40631</v>
      </c>
      <c r="F70" t="s">
        <v>156</v>
      </c>
      <c r="G70">
        <v>1447238</v>
      </c>
      <c r="H70">
        <v>1147911</v>
      </c>
      <c r="I70">
        <v>37101195</v>
      </c>
      <c r="J70">
        <v>419872</v>
      </c>
      <c r="L70" t="s">
        <v>157</v>
      </c>
      <c r="M70" t="s">
        <v>158</v>
      </c>
      <c r="N70" t="s">
        <v>87</v>
      </c>
      <c r="O70" t="s">
        <v>159</v>
      </c>
      <c r="P70" t="s">
        <v>159</v>
      </c>
      <c r="Q70" t="s">
        <v>112</v>
      </c>
      <c r="R70" s="1">
        <v>46144</v>
      </c>
      <c r="S70" t="s">
        <v>160</v>
      </c>
      <c r="T70" t="s">
        <v>137</v>
      </c>
      <c r="U70">
        <v>23</v>
      </c>
      <c r="V70">
        <v>21</v>
      </c>
      <c r="W70" t="str">
        <f>"4.16"</f>
        <v>4.16</v>
      </c>
      <c r="X70" t="s">
        <v>184</v>
      </c>
      <c r="AA70" t="s">
        <v>94</v>
      </c>
      <c r="AB70" t="s">
        <v>95</v>
      </c>
      <c r="AC70" t="s">
        <v>96</v>
      </c>
      <c r="AD70" t="s">
        <v>95</v>
      </c>
      <c r="AE70" t="s">
        <v>95</v>
      </c>
      <c r="AF70" t="s">
        <v>95</v>
      </c>
      <c r="AN70" t="s">
        <v>95</v>
      </c>
      <c r="AQ70" s="1">
        <v>46055</v>
      </c>
      <c r="AS70">
        <v>5700</v>
      </c>
      <c r="AT70" t="s">
        <v>117</v>
      </c>
      <c r="AU70" t="s">
        <v>169</v>
      </c>
      <c r="AV70">
        <v>5619</v>
      </c>
      <c r="AW70">
        <v>5619</v>
      </c>
      <c r="AX70">
        <v>5619</v>
      </c>
      <c r="AY70">
        <v>0</v>
      </c>
      <c r="AZ70" t="s">
        <v>113</v>
      </c>
      <c r="BB70">
        <v>494263</v>
      </c>
      <c r="BC70" t="s">
        <v>99</v>
      </c>
      <c r="BD70" s="1">
        <v>46174</v>
      </c>
      <c r="BE70" t="s">
        <v>141</v>
      </c>
      <c r="BG70" t="s">
        <v>100</v>
      </c>
      <c r="BH70" t="str">
        <f t="shared" si="3"/>
        <v>720746049</v>
      </c>
      <c r="BI70" t="s">
        <v>101</v>
      </c>
      <c r="BJ70" t="s">
        <v>102</v>
      </c>
      <c r="BK70" t="s">
        <v>102</v>
      </c>
      <c r="BL70">
        <v>939129577</v>
      </c>
      <c r="BM70">
        <v>7243849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946373426</v>
      </c>
      <c r="BT70">
        <v>99.23</v>
      </c>
      <c r="BU70">
        <v>0.77</v>
      </c>
      <c r="BV70">
        <v>0</v>
      </c>
      <c r="BW70">
        <v>0</v>
      </c>
      <c r="BX70">
        <v>0</v>
      </c>
      <c r="BY70">
        <v>0</v>
      </c>
      <c r="BZ70">
        <v>0</v>
      </c>
    </row>
    <row r="71" spans="1:78">
      <c r="A71" t="s">
        <v>205</v>
      </c>
      <c r="B71" t="s">
        <v>153</v>
      </c>
      <c r="C71" t="s">
        <v>154</v>
      </c>
      <c r="D71" t="s">
        <v>155</v>
      </c>
      <c r="E71">
        <v>40631</v>
      </c>
      <c r="F71" t="s">
        <v>156</v>
      </c>
      <c r="G71">
        <v>1447238</v>
      </c>
      <c r="H71">
        <v>1147911</v>
      </c>
      <c r="I71">
        <v>37101195</v>
      </c>
      <c r="J71">
        <v>419872</v>
      </c>
      <c r="L71" t="s">
        <v>157</v>
      </c>
      <c r="M71" t="s">
        <v>158</v>
      </c>
      <c r="N71" t="s">
        <v>87</v>
      </c>
      <c r="O71" t="s">
        <v>159</v>
      </c>
      <c r="P71" t="s">
        <v>159</v>
      </c>
      <c r="Q71" t="s">
        <v>112</v>
      </c>
      <c r="R71" s="1">
        <v>46144</v>
      </c>
      <c r="S71" t="s">
        <v>160</v>
      </c>
      <c r="T71" t="s">
        <v>137</v>
      </c>
      <c r="U71">
        <v>24</v>
      </c>
      <c r="V71">
        <v>22</v>
      </c>
      <c r="W71" t="str">
        <f>"4.17"</f>
        <v>4.17</v>
      </c>
      <c r="X71" t="s">
        <v>185</v>
      </c>
      <c r="AA71" t="s">
        <v>94</v>
      </c>
      <c r="AB71" t="s">
        <v>95</v>
      </c>
      <c r="AC71" t="s">
        <v>96</v>
      </c>
      <c r="AD71" t="s">
        <v>95</v>
      </c>
      <c r="AE71" t="s">
        <v>95</v>
      </c>
      <c r="AF71" t="s">
        <v>95</v>
      </c>
      <c r="AN71" t="s">
        <v>95</v>
      </c>
      <c r="AQ71" s="1">
        <v>46055</v>
      </c>
      <c r="AS71">
        <v>5700</v>
      </c>
      <c r="AT71" t="s">
        <v>117</v>
      </c>
      <c r="AU71" t="s">
        <v>169</v>
      </c>
      <c r="AV71">
        <v>5619</v>
      </c>
      <c r="AW71">
        <v>5619</v>
      </c>
      <c r="AX71">
        <v>5619</v>
      </c>
      <c r="AY71">
        <v>0</v>
      </c>
      <c r="AZ71" t="s">
        <v>113</v>
      </c>
      <c r="BB71">
        <v>494263</v>
      </c>
      <c r="BC71" t="s">
        <v>99</v>
      </c>
      <c r="BD71" s="1">
        <v>46174</v>
      </c>
      <c r="BE71" t="s">
        <v>141</v>
      </c>
      <c r="BG71" t="s">
        <v>100</v>
      </c>
      <c r="BH71" t="str">
        <f t="shared" si="3"/>
        <v>720746049</v>
      </c>
      <c r="BI71" t="s">
        <v>101</v>
      </c>
      <c r="BJ71" t="s">
        <v>102</v>
      </c>
      <c r="BK71" t="s">
        <v>102</v>
      </c>
      <c r="BL71">
        <v>939147976</v>
      </c>
      <c r="BM71">
        <v>7242310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946390286</v>
      </c>
      <c r="BT71">
        <v>99.23</v>
      </c>
      <c r="BU71">
        <v>0.77</v>
      </c>
      <c r="BV71">
        <v>0</v>
      </c>
      <c r="BW71">
        <v>0</v>
      </c>
      <c r="BX71">
        <v>0</v>
      </c>
      <c r="BY71">
        <v>0</v>
      </c>
      <c r="BZ71">
        <v>0</v>
      </c>
    </row>
    <row r="72" spans="1:78">
      <c r="A72" t="s">
        <v>205</v>
      </c>
      <c r="B72" t="s">
        <v>153</v>
      </c>
      <c r="C72" t="s">
        <v>154</v>
      </c>
      <c r="D72" t="s">
        <v>155</v>
      </c>
      <c r="E72">
        <v>40631</v>
      </c>
      <c r="F72" t="s">
        <v>156</v>
      </c>
      <c r="G72">
        <v>1447238</v>
      </c>
      <c r="H72">
        <v>1147911</v>
      </c>
      <c r="I72">
        <v>37101195</v>
      </c>
      <c r="J72">
        <v>419872</v>
      </c>
      <c r="L72" t="s">
        <v>157</v>
      </c>
      <c r="M72" t="s">
        <v>158</v>
      </c>
      <c r="N72" t="s">
        <v>87</v>
      </c>
      <c r="O72" t="s">
        <v>159</v>
      </c>
      <c r="P72" t="s">
        <v>159</v>
      </c>
      <c r="Q72" t="s">
        <v>112</v>
      </c>
      <c r="R72" s="1">
        <v>46144</v>
      </c>
      <c r="S72" t="s">
        <v>160</v>
      </c>
      <c r="T72" t="s">
        <v>137</v>
      </c>
      <c r="U72">
        <v>25</v>
      </c>
      <c r="V72">
        <v>23</v>
      </c>
      <c r="W72" t="str">
        <f>"4.18"</f>
        <v>4.18</v>
      </c>
      <c r="X72" t="s">
        <v>186</v>
      </c>
      <c r="AA72" t="s">
        <v>94</v>
      </c>
      <c r="AB72" t="s">
        <v>95</v>
      </c>
      <c r="AC72" t="s">
        <v>96</v>
      </c>
      <c r="AD72" t="s">
        <v>95</v>
      </c>
      <c r="AE72" t="s">
        <v>95</v>
      </c>
      <c r="AF72" t="s">
        <v>95</v>
      </c>
      <c r="AN72" t="s">
        <v>95</v>
      </c>
      <c r="AQ72" s="1">
        <v>46055</v>
      </c>
      <c r="AS72">
        <v>5700</v>
      </c>
      <c r="AT72" t="s">
        <v>117</v>
      </c>
      <c r="AU72" t="s">
        <v>169</v>
      </c>
      <c r="AV72">
        <v>5619</v>
      </c>
      <c r="AW72">
        <v>5619</v>
      </c>
      <c r="AX72">
        <v>5619</v>
      </c>
      <c r="AY72">
        <v>0</v>
      </c>
      <c r="AZ72" t="s">
        <v>113</v>
      </c>
      <c r="BB72">
        <v>494263</v>
      </c>
      <c r="BC72" t="s">
        <v>99</v>
      </c>
      <c r="BD72" s="1">
        <v>46174</v>
      </c>
      <c r="BE72" t="s">
        <v>141</v>
      </c>
      <c r="BG72" t="s">
        <v>100</v>
      </c>
      <c r="BH72" t="str">
        <f t="shared" si="3"/>
        <v>720746049</v>
      </c>
      <c r="BI72" t="s">
        <v>101</v>
      </c>
      <c r="BJ72" t="s">
        <v>102</v>
      </c>
      <c r="BK72" t="s">
        <v>102</v>
      </c>
      <c r="BL72">
        <v>939145572</v>
      </c>
      <c r="BM72">
        <v>7235831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946381403</v>
      </c>
      <c r="BT72">
        <v>99.24</v>
      </c>
      <c r="BU72">
        <v>0.76</v>
      </c>
      <c r="BV72">
        <v>0</v>
      </c>
      <c r="BW72">
        <v>0</v>
      </c>
      <c r="BX72">
        <v>0</v>
      </c>
      <c r="BY72">
        <v>0</v>
      </c>
      <c r="BZ72">
        <v>0</v>
      </c>
    </row>
    <row r="73" spans="1:78">
      <c r="A73" t="s">
        <v>205</v>
      </c>
      <c r="B73" t="s">
        <v>153</v>
      </c>
      <c r="C73" t="s">
        <v>154</v>
      </c>
      <c r="D73" t="s">
        <v>155</v>
      </c>
      <c r="E73">
        <v>40631</v>
      </c>
      <c r="F73" t="s">
        <v>156</v>
      </c>
      <c r="G73">
        <v>1447238</v>
      </c>
      <c r="H73">
        <v>1147911</v>
      </c>
      <c r="I73">
        <v>37101195</v>
      </c>
      <c r="J73">
        <v>419872</v>
      </c>
      <c r="L73" t="s">
        <v>157</v>
      </c>
      <c r="M73" t="s">
        <v>158</v>
      </c>
      <c r="N73" t="s">
        <v>87</v>
      </c>
      <c r="O73" t="s">
        <v>159</v>
      </c>
      <c r="P73" t="s">
        <v>159</v>
      </c>
      <c r="Q73" t="s">
        <v>112</v>
      </c>
      <c r="R73" s="1">
        <v>46144</v>
      </c>
      <c r="S73" t="s">
        <v>160</v>
      </c>
      <c r="T73" t="s">
        <v>137</v>
      </c>
      <c r="U73">
        <v>26</v>
      </c>
      <c r="V73">
        <v>24</v>
      </c>
      <c r="W73" t="str">
        <f>"4.19"</f>
        <v>4.19</v>
      </c>
      <c r="X73" t="s">
        <v>187</v>
      </c>
      <c r="AA73" t="s">
        <v>94</v>
      </c>
      <c r="AB73" t="s">
        <v>95</v>
      </c>
      <c r="AC73" t="s">
        <v>96</v>
      </c>
      <c r="AD73" t="s">
        <v>95</v>
      </c>
      <c r="AE73" t="s">
        <v>95</v>
      </c>
      <c r="AF73" t="s">
        <v>95</v>
      </c>
      <c r="AN73" t="s">
        <v>95</v>
      </c>
      <c r="AQ73" s="1">
        <v>46055</v>
      </c>
      <c r="AS73">
        <v>5700</v>
      </c>
      <c r="AT73" t="s">
        <v>117</v>
      </c>
      <c r="AU73" t="s">
        <v>169</v>
      </c>
      <c r="AV73">
        <v>5619</v>
      </c>
      <c r="AW73">
        <v>5619</v>
      </c>
      <c r="AX73">
        <v>5619</v>
      </c>
      <c r="AY73">
        <v>0</v>
      </c>
      <c r="AZ73" t="s">
        <v>113</v>
      </c>
      <c r="BB73">
        <v>494263</v>
      </c>
      <c r="BC73" t="s">
        <v>99</v>
      </c>
      <c r="BD73" s="1">
        <v>46174</v>
      </c>
      <c r="BE73" t="s">
        <v>141</v>
      </c>
      <c r="BG73" t="s">
        <v>100</v>
      </c>
      <c r="BH73" t="str">
        <f t="shared" si="3"/>
        <v>720746049</v>
      </c>
      <c r="BI73" t="s">
        <v>101</v>
      </c>
      <c r="BJ73" t="s">
        <v>102</v>
      </c>
      <c r="BK73" t="s">
        <v>102</v>
      </c>
      <c r="BL73">
        <v>935345681</v>
      </c>
      <c r="BM73">
        <v>11045050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946390731</v>
      </c>
      <c r="BT73">
        <v>98.83</v>
      </c>
      <c r="BU73">
        <v>1.17</v>
      </c>
      <c r="BV73">
        <v>0</v>
      </c>
      <c r="BW73">
        <v>0</v>
      </c>
      <c r="BX73">
        <v>0</v>
      </c>
      <c r="BY73">
        <v>0</v>
      </c>
      <c r="BZ73">
        <v>0</v>
      </c>
    </row>
    <row r="74" spans="1:78">
      <c r="A74" t="s">
        <v>205</v>
      </c>
      <c r="B74" t="s">
        <v>153</v>
      </c>
      <c r="C74" t="s">
        <v>154</v>
      </c>
      <c r="D74" t="s">
        <v>155</v>
      </c>
      <c r="E74">
        <v>40631</v>
      </c>
      <c r="F74" t="s">
        <v>156</v>
      </c>
      <c r="G74">
        <v>1447238</v>
      </c>
      <c r="H74">
        <v>1147911</v>
      </c>
      <c r="I74">
        <v>37101195</v>
      </c>
      <c r="J74">
        <v>419872</v>
      </c>
      <c r="L74" t="s">
        <v>157</v>
      </c>
      <c r="M74" t="s">
        <v>158</v>
      </c>
      <c r="N74" t="s">
        <v>87</v>
      </c>
      <c r="O74" t="s">
        <v>159</v>
      </c>
      <c r="P74" t="s">
        <v>159</v>
      </c>
      <c r="Q74" t="s">
        <v>112</v>
      </c>
      <c r="R74" s="1">
        <v>46144</v>
      </c>
      <c r="S74" t="s">
        <v>160</v>
      </c>
      <c r="T74" t="s">
        <v>137</v>
      </c>
      <c r="U74">
        <v>27</v>
      </c>
      <c r="V74">
        <v>25</v>
      </c>
      <c r="W74" t="str">
        <f>"4.20"</f>
        <v>4.20</v>
      </c>
      <c r="X74" t="s">
        <v>188</v>
      </c>
      <c r="AA74" t="s">
        <v>94</v>
      </c>
      <c r="AB74" t="s">
        <v>95</v>
      </c>
      <c r="AC74" t="s">
        <v>96</v>
      </c>
      <c r="AD74" t="s">
        <v>95</v>
      </c>
      <c r="AE74" t="s">
        <v>95</v>
      </c>
      <c r="AF74" t="s">
        <v>95</v>
      </c>
      <c r="AN74" t="s">
        <v>95</v>
      </c>
      <c r="AQ74" s="1">
        <v>46055</v>
      </c>
      <c r="AS74">
        <v>5700</v>
      </c>
      <c r="AT74" t="s">
        <v>117</v>
      </c>
      <c r="AU74" t="s">
        <v>169</v>
      </c>
      <c r="AV74">
        <v>5619</v>
      </c>
      <c r="AW74">
        <v>5619</v>
      </c>
      <c r="AX74">
        <v>5619</v>
      </c>
      <c r="AY74">
        <v>0</v>
      </c>
      <c r="AZ74" t="s">
        <v>113</v>
      </c>
      <c r="BB74">
        <v>494263</v>
      </c>
      <c r="BC74" t="s">
        <v>99</v>
      </c>
      <c r="BD74" s="1">
        <v>46174</v>
      </c>
      <c r="BE74" t="s">
        <v>141</v>
      </c>
      <c r="BG74" t="s">
        <v>100</v>
      </c>
      <c r="BH74" t="str">
        <f t="shared" si="3"/>
        <v>720746049</v>
      </c>
      <c r="BI74" t="s">
        <v>101</v>
      </c>
      <c r="BJ74" t="s">
        <v>102</v>
      </c>
      <c r="BK74" t="s">
        <v>102</v>
      </c>
      <c r="BL74">
        <v>939134754</v>
      </c>
      <c r="BM74">
        <v>7245441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946380195</v>
      </c>
      <c r="BT74">
        <v>99.23</v>
      </c>
      <c r="BU74">
        <v>0.77</v>
      </c>
      <c r="BV74">
        <v>0</v>
      </c>
      <c r="BW74">
        <v>0</v>
      </c>
      <c r="BX74">
        <v>0</v>
      </c>
      <c r="BY74">
        <v>0</v>
      </c>
      <c r="BZ74">
        <v>0</v>
      </c>
    </row>
    <row r="75" spans="1:78">
      <c r="A75" t="s">
        <v>205</v>
      </c>
      <c r="B75" t="s">
        <v>153</v>
      </c>
      <c r="C75" t="s">
        <v>154</v>
      </c>
      <c r="D75" t="s">
        <v>155</v>
      </c>
      <c r="E75">
        <v>40631</v>
      </c>
      <c r="F75" t="s">
        <v>156</v>
      </c>
      <c r="G75">
        <v>1447238</v>
      </c>
      <c r="H75">
        <v>1147911</v>
      </c>
      <c r="I75">
        <v>37101195</v>
      </c>
      <c r="J75">
        <v>419872</v>
      </c>
      <c r="L75" t="s">
        <v>157</v>
      </c>
      <c r="M75" t="s">
        <v>158</v>
      </c>
      <c r="N75" t="s">
        <v>87</v>
      </c>
      <c r="O75" t="s">
        <v>159</v>
      </c>
      <c r="P75" t="s">
        <v>159</v>
      </c>
      <c r="Q75" t="s">
        <v>112</v>
      </c>
      <c r="R75" s="1">
        <v>46144</v>
      </c>
      <c r="S75" t="s">
        <v>160</v>
      </c>
      <c r="T75" t="s">
        <v>137</v>
      </c>
      <c r="U75">
        <v>28</v>
      </c>
      <c r="V75">
        <v>26</v>
      </c>
      <c r="W75" t="str">
        <f>"4.21"</f>
        <v>4.21</v>
      </c>
      <c r="X75" t="s">
        <v>189</v>
      </c>
      <c r="AA75" t="s">
        <v>94</v>
      </c>
      <c r="AB75" t="s">
        <v>95</v>
      </c>
      <c r="AC75" t="s">
        <v>96</v>
      </c>
      <c r="AD75" t="s">
        <v>95</v>
      </c>
      <c r="AE75" t="s">
        <v>95</v>
      </c>
      <c r="AF75" t="s">
        <v>95</v>
      </c>
      <c r="AN75" t="s">
        <v>95</v>
      </c>
      <c r="AQ75" s="1">
        <v>46055</v>
      </c>
      <c r="AS75">
        <v>5700</v>
      </c>
      <c r="AT75" t="s">
        <v>117</v>
      </c>
      <c r="AU75" t="s">
        <v>169</v>
      </c>
      <c r="AV75">
        <v>5619</v>
      </c>
      <c r="AW75">
        <v>5619</v>
      </c>
      <c r="AX75">
        <v>5619</v>
      </c>
      <c r="AY75">
        <v>0</v>
      </c>
      <c r="AZ75" t="s">
        <v>113</v>
      </c>
      <c r="BB75">
        <v>494263</v>
      </c>
      <c r="BC75" t="s">
        <v>99</v>
      </c>
      <c r="BD75" s="1">
        <v>46174</v>
      </c>
      <c r="BE75" t="s">
        <v>141</v>
      </c>
      <c r="BG75" t="s">
        <v>100</v>
      </c>
      <c r="BH75" t="str">
        <f t="shared" si="3"/>
        <v>720746049</v>
      </c>
      <c r="BI75" t="s">
        <v>101</v>
      </c>
      <c r="BJ75" t="s">
        <v>102</v>
      </c>
      <c r="BK75" t="s">
        <v>102</v>
      </c>
      <c r="BL75">
        <v>939134290</v>
      </c>
      <c r="BM75">
        <v>7241444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946375734</v>
      </c>
      <c r="BT75">
        <v>99.23</v>
      </c>
      <c r="BU75">
        <v>0.77</v>
      </c>
      <c r="BV75">
        <v>0</v>
      </c>
      <c r="BW75">
        <v>0</v>
      </c>
      <c r="BX75">
        <v>0</v>
      </c>
      <c r="BY75">
        <v>0</v>
      </c>
      <c r="BZ75">
        <v>0</v>
      </c>
    </row>
    <row r="76" spans="1:78">
      <c r="A76" t="s">
        <v>205</v>
      </c>
      <c r="B76" t="s">
        <v>153</v>
      </c>
      <c r="C76" t="s">
        <v>154</v>
      </c>
      <c r="D76" t="s">
        <v>155</v>
      </c>
      <c r="E76">
        <v>40631</v>
      </c>
      <c r="F76" t="s">
        <v>156</v>
      </c>
      <c r="G76">
        <v>1447238</v>
      </c>
      <c r="H76">
        <v>1147911</v>
      </c>
      <c r="I76">
        <v>37101195</v>
      </c>
      <c r="J76">
        <v>419872</v>
      </c>
      <c r="L76" t="s">
        <v>157</v>
      </c>
      <c r="M76" t="s">
        <v>158</v>
      </c>
      <c r="N76" t="s">
        <v>87</v>
      </c>
      <c r="O76" t="s">
        <v>159</v>
      </c>
      <c r="P76" t="s">
        <v>159</v>
      </c>
      <c r="Q76" t="s">
        <v>112</v>
      </c>
      <c r="R76" s="1">
        <v>46144</v>
      </c>
      <c r="S76" t="s">
        <v>160</v>
      </c>
      <c r="T76" t="s">
        <v>137</v>
      </c>
      <c r="U76">
        <v>29</v>
      </c>
      <c r="V76">
        <v>27</v>
      </c>
      <c r="W76" t="str">
        <f>"5.1"</f>
        <v>5.1</v>
      </c>
      <c r="X76" t="s">
        <v>190</v>
      </c>
      <c r="AA76" t="s">
        <v>94</v>
      </c>
      <c r="AB76" t="s">
        <v>95</v>
      </c>
      <c r="AC76" t="s">
        <v>96</v>
      </c>
      <c r="AD76" t="s">
        <v>95</v>
      </c>
      <c r="AE76" t="s">
        <v>95</v>
      </c>
      <c r="AF76" t="s">
        <v>95</v>
      </c>
      <c r="AN76" t="s">
        <v>95</v>
      </c>
      <c r="AQ76" s="1">
        <v>46055</v>
      </c>
      <c r="AS76">
        <v>5200</v>
      </c>
      <c r="AT76" t="s">
        <v>126</v>
      </c>
      <c r="AU76" t="s">
        <v>190</v>
      </c>
      <c r="AV76">
        <v>5619</v>
      </c>
      <c r="AW76">
        <v>5619</v>
      </c>
      <c r="AX76">
        <v>5619</v>
      </c>
      <c r="AY76">
        <v>0</v>
      </c>
      <c r="AZ76" t="s">
        <v>113</v>
      </c>
      <c r="BB76">
        <v>494263</v>
      </c>
      <c r="BC76" t="s">
        <v>99</v>
      </c>
      <c r="BD76" s="1">
        <v>46174</v>
      </c>
      <c r="BE76" t="s">
        <v>141</v>
      </c>
      <c r="BG76" t="s">
        <v>100</v>
      </c>
      <c r="BH76" t="str">
        <f t="shared" si="3"/>
        <v>720746049</v>
      </c>
      <c r="BI76" t="s">
        <v>101</v>
      </c>
      <c r="BJ76" t="s">
        <v>102</v>
      </c>
      <c r="BK76" t="s">
        <v>102</v>
      </c>
      <c r="BL76">
        <v>951025816</v>
      </c>
      <c r="BM76">
        <v>80417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951106233</v>
      </c>
      <c r="BT76">
        <v>99.99</v>
      </c>
      <c r="BU76">
        <v>0.01</v>
      </c>
      <c r="BV76">
        <v>0</v>
      </c>
      <c r="BW76">
        <v>0</v>
      </c>
      <c r="BX76">
        <v>0</v>
      </c>
      <c r="BY76">
        <v>0</v>
      </c>
      <c r="BZ76">
        <v>0</v>
      </c>
    </row>
    <row r="77" spans="1:78">
      <c r="A77" t="s">
        <v>205</v>
      </c>
      <c r="B77" t="s">
        <v>153</v>
      </c>
      <c r="C77" t="s">
        <v>154</v>
      </c>
      <c r="D77" t="s">
        <v>155</v>
      </c>
      <c r="E77">
        <v>40631</v>
      </c>
      <c r="F77" t="s">
        <v>156</v>
      </c>
      <c r="G77">
        <v>1447238</v>
      </c>
      <c r="H77">
        <v>1147911</v>
      </c>
      <c r="I77">
        <v>37101195</v>
      </c>
      <c r="J77">
        <v>419872</v>
      </c>
      <c r="L77" t="s">
        <v>157</v>
      </c>
      <c r="M77" t="s">
        <v>158</v>
      </c>
      <c r="N77" t="s">
        <v>87</v>
      </c>
      <c r="O77" t="s">
        <v>159</v>
      </c>
      <c r="P77" t="s">
        <v>159</v>
      </c>
      <c r="Q77" t="s">
        <v>112</v>
      </c>
      <c r="R77" s="1">
        <v>46144</v>
      </c>
      <c r="S77" t="s">
        <v>160</v>
      </c>
      <c r="T77" t="s">
        <v>137</v>
      </c>
      <c r="U77">
        <v>30</v>
      </c>
      <c r="V77">
        <v>28</v>
      </c>
      <c r="W77" t="str">
        <f>"5.2"</f>
        <v>5.2</v>
      </c>
      <c r="X77" t="s">
        <v>191</v>
      </c>
      <c r="AA77" t="s">
        <v>94</v>
      </c>
      <c r="AB77" t="s">
        <v>95</v>
      </c>
      <c r="AC77" t="s">
        <v>96</v>
      </c>
      <c r="AD77" t="s">
        <v>95</v>
      </c>
      <c r="AE77" t="s">
        <v>95</v>
      </c>
      <c r="AF77" t="s">
        <v>95</v>
      </c>
      <c r="AN77" t="s">
        <v>95</v>
      </c>
      <c r="AQ77" s="1">
        <v>46055</v>
      </c>
      <c r="AS77">
        <v>5210</v>
      </c>
      <c r="AT77" t="s">
        <v>126</v>
      </c>
      <c r="AU77" t="s">
        <v>192</v>
      </c>
      <c r="AV77">
        <v>5619</v>
      </c>
      <c r="AW77">
        <v>5619</v>
      </c>
      <c r="AX77">
        <v>5619</v>
      </c>
      <c r="AY77">
        <v>0</v>
      </c>
      <c r="AZ77" t="s">
        <v>113</v>
      </c>
      <c r="BB77">
        <v>494263</v>
      </c>
      <c r="BC77" t="s">
        <v>99</v>
      </c>
      <c r="BD77" s="1">
        <v>46174</v>
      </c>
      <c r="BE77" t="s">
        <v>141</v>
      </c>
      <c r="BG77" t="s">
        <v>100</v>
      </c>
      <c r="BH77" t="str">
        <f t="shared" si="3"/>
        <v>720746049</v>
      </c>
      <c r="BI77" t="s">
        <v>101</v>
      </c>
      <c r="BJ77" t="s">
        <v>102</v>
      </c>
      <c r="BK77" t="s">
        <v>102</v>
      </c>
      <c r="BL77">
        <v>950828386</v>
      </c>
      <c r="BM77">
        <v>278670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951107056</v>
      </c>
      <c r="BT77">
        <v>99.97</v>
      </c>
      <c r="BU77">
        <v>0.03</v>
      </c>
      <c r="BV77">
        <v>0</v>
      </c>
      <c r="BW77">
        <v>0</v>
      </c>
      <c r="BX77">
        <v>0</v>
      </c>
      <c r="BY77">
        <v>0</v>
      </c>
      <c r="BZ77">
        <v>0</v>
      </c>
    </row>
    <row r="78" spans="1:78">
      <c r="A78" t="s">
        <v>205</v>
      </c>
      <c r="B78" t="s">
        <v>153</v>
      </c>
      <c r="C78" t="s">
        <v>154</v>
      </c>
      <c r="D78" t="s">
        <v>155</v>
      </c>
      <c r="E78">
        <v>40631</v>
      </c>
      <c r="F78" t="s">
        <v>156</v>
      </c>
      <c r="G78">
        <v>1447238</v>
      </c>
      <c r="H78">
        <v>1147911</v>
      </c>
      <c r="I78">
        <v>37101195</v>
      </c>
      <c r="J78">
        <v>419872</v>
      </c>
      <c r="L78" t="s">
        <v>157</v>
      </c>
      <c r="M78" t="s">
        <v>158</v>
      </c>
      <c r="N78" t="s">
        <v>87</v>
      </c>
      <c r="O78" t="s">
        <v>159</v>
      </c>
      <c r="P78" t="s">
        <v>159</v>
      </c>
      <c r="Q78" t="s">
        <v>112</v>
      </c>
      <c r="R78" s="1">
        <v>46144</v>
      </c>
      <c r="S78" t="s">
        <v>160</v>
      </c>
      <c r="T78" t="s">
        <v>137</v>
      </c>
      <c r="U78">
        <v>31</v>
      </c>
      <c r="V78">
        <v>29</v>
      </c>
      <c r="W78" t="str">
        <f>"6"</f>
        <v>6</v>
      </c>
      <c r="X78" t="s">
        <v>193</v>
      </c>
      <c r="AA78" t="s">
        <v>94</v>
      </c>
      <c r="AB78" t="s">
        <v>95</v>
      </c>
      <c r="AC78" t="s">
        <v>96</v>
      </c>
      <c r="AD78" t="s">
        <v>95</v>
      </c>
      <c r="AE78" t="s">
        <v>95</v>
      </c>
      <c r="AF78" t="s">
        <v>123</v>
      </c>
      <c r="AN78" t="s">
        <v>123</v>
      </c>
      <c r="AO78" t="str">
        <f>"No transparency in sustainability linked remuneration."</f>
        <v>No transparency in sustainability linked remuneration.</v>
      </c>
      <c r="AQ78" s="1">
        <v>46055</v>
      </c>
      <c r="AS78">
        <v>5600</v>
      </c>
      <c r="AT78" t="s">
        <v>128</v>
      </c>
      <c r="AU78" t="s">
        <v>194</v>
      </c>
      <c r="AV78">
        <v>5619</v>
      </c>
      <c r="AW78">
        <v>5619</v>
      </c>
      <c r="AX78">
        <v>5619</v>
      </c>
      <c r="AY78">
        <v>0</v>
      </c>
      <c r="AZ78" t="s">
        <v>113</v>
      </c>
      <c r="BB78">
        <v>494263</v>
      </c>
      <c r="BC78" t="s">
        <v>99</v>
      </c>
      <c r="BD78" s="1">
        <v>46174</v>
      </c>
      <c r="BE78" t="s">
        <v>141</v>
      </c>
      <c r="BG78" t="s">
        <v>100</v>
      </c>
      <c r="BH78" t="str">
        <f t="shared" si="3"/>
        <v>720746049</v>
      </c>
      <c r="BI78" t="s">
        <v>101</v>
      </c>
      <c r="BJ78" t="s">
        <v>123</v>
      </c>
      <c r="BK78" t="s">
        <v>123</v>
      </c>
      <c r="BL78">
        <v>917555618</v>
      </c>
      <c r="BM78">
        <v>33326228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950881846</v>
      </c>
      <c r="BT78">
        <v>96.5</v>
      </c>
      <c r="BU78">
        <v>3.5</v>
      </c>
      <c r="BV78">
        <v>0</v>
      </c>
      <c r="BW78">
        <v>0</v>
      </c>
      <c r="BX78">
        <v>0</v>
      </c>
      <c r="BY78">
        <v>0</v>
      </c>
      <c r="BZ78">
        <v>0</v>
      </c>
    </row>
    <row r="79" spans="1:78">
      <c r="A79" t="s">
        <v>205</v>
      </c>
      <c r="B79" t="s">
        <v>153</v>
      </c>
      <c r="C79" t="s">
        <v>154</v>
      </c>
      <c r="D79" t="s">
        <v>155</v>
      </c>
      <c r="E79">
        <v>40631</v>
      </c>
      <c r="F79" t="s">
        <v>156</v>
      </c>
      <c r="G79">
        <v>1447238</v>
      </c>
      <c r="H79">
        <v>1147911</v>
      </c>
      <c r="I79">
        <v>37101195</v>
      </c>
      <c r="J79">
        <v>419872</v>
      </c>
      <c r="L79" t="s">
        <v>157</v>
      </c>
      <c r="M79" t="s">
        <v>158</v>
      </c>
      <c r="N79" t="s">
        <v>87</v>
      </c>
      <c r="O79" t="s">
        <v>159</v>
      </c>
      <c r="P79" t="s">
        <v>159</v>
      </c>
      <c r="Q79" t="s">
        <v>112</v>
      </c>
      <c r="R79" s="1">
        <v>46144</v>
      </c>
      <c r="S79" t="s">
        <v>160</v>
      </c>
      <c r="T79" t="s">
        <v>137</v>
      </c>
      <c r="U79">
        <v>32</v>
      </c>
      <c r="V79">
        <v>30</v>
      </c>
      <c r="W79" t="str">
        <f>"7"</f>
        <v>7</v>
      </c>
      <c r="X79" t="s">
        <v>195</v>
      </c>
      <c r="AA79" t="s">
        <v>94</v>
      </c>
      <c r="AB79" t="s">
        <v>95</v>
      </c>
      <c r="AC79" t="s">
        <v>96</v>
      </c>
      <c r="AD79" t="s">
        <v>123</v>
      </c>
      <c r="AE79" t="s">
        <v>123</v>
      </c>
      <c r="AF79" t="s">
        <v>123</v>
      </c>
      <c r="AN79" t="s">
        <v>123</v>
      </c>
      <c r="AO79" t="str">
        <f>"Adjustment is not in best interests of shareholders"</f>
        <v>Adjustment is not in best interests of shareholders</v>
      </c>
      <c r="AP79" t="str">
        <f>"Adjustment is not in best interests of shareholders"</f>
        <v>Adjustment is not in best interests of shareholders</v>
      </c>
      <c r="AQ79" s="1">
        <v>46055</v>
      </c>
      <c r="AS79">
        <v>6185</v>
      </c>
      <c r="AT79" t="s">
        <v>98</v>
      </c>
      <c r="AU79" t="s">
        <v>196</v>
      </c>
      <c r="AV79">
        <v>5619</v>
      </c>
      <c r="AW79">
        <v>5619</v>
      </c>
      <c r="AX79">
        <v>5619</v>
      </c>
      <c r="AY79">
        <v>0</v>
      </c>
      <c r="AZ79" t="s">
        <v>113</v>
      </c>
      <c r="BB79">
        <v>494263</v>
      </c>
      <c r="BC79" t="s">
        <v>99</v>
      </c>
      <c r="BD79" s="1">
        <v>46174</v>
      </c>
      <c r="BE79" t="s">
        <v>141</v>
      </c>
      <c r="BG79" t="s">
        <v>100</v>
      </c>
      <c r="BH79" t="str">
        <f t="shared" si="3"/>
        <v>720746049</v>
      </c>
      <c r="BI79" t="s">
        <v>101</v>
      </c>
      <c r="BJ79" t="s">
        <v>102</v>
      </c>
      <c r="BK79" t="s">
        <v>102</v>
      </c>
      <c r="BL79">
        <v>819116952</v>
      </c>
      <c r="BM79">
        <v>125435184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944552136</v>
      </c>
      <c r="BT79">
        <v>86.72</v>
      </c>
      <c r="BU79">
        <v>13.28</v>
      </c>
      <c r="BV79">
        <v>0</v>
      </c>
      <c r="BW79">
        <v>0</v>
      </c>
      <c r="BX79">
        <v>0</v>
      </c>
      <c r="BY79">
        <v>0</v>
      </c>
      <c r="BZ79">
        <v>0</v>
      </c>
    </row>
    <row r="80" spans="1:78">
      <c r="A80" t="s">
        <v>205</v>
      </c>
      <c r="B80" t="s">
        <v>153</v>
      </c>
      <c r="C80" t="s">
        <v>154</v>
      </c>
      <c r="D80" t="s">
        <v>155</v>
      </c>
      <c r="E80">
        <v>40631</v>
      </c>
      <c r="F80" t="s">
        <v>156</v>
      </c>
      <c r="G80">
        <v>1447238</v>
      </c>
      <c r="H80">
        <v>1147911</v>
      </c>
      <c r="I80">
        <v>37101195</v>
      </c>
      <c r="J80">
        <v>419872</v>
      </c>
      <c r="L80" t="s">
        <v>157</v>
      </c>
      <c r="M80" t="s">
        <v>158</v>
      </c>
      <c r="N80" t="s">
        <v>87</v>
      </c>
      <c r="O80" t="s">
        <v>159</v>
      </c>
      <c r="P80" t="s">
        <v>159</v>
      </c>
      <c r="Q80" t="s">
        <v>112</v>
      </c>
      <c r="R80" s="1">
        <v>46144</v>
      </c>
      <c r="S80" t="s">
        <v>160</v>
      </c>
      <c r="T80" t="s">
        <v>137</v>
      </c>
      <c r="U80">
        <v>33</v>
      </c>
      <c r="V80">
        <v>31</v>
      </c>
      <c r="W80" t="str">
        <f>"8"</f>
        <v>8</v>
      </c>
      <c r="X80" t="s">
        <v>197</v>
      </c>
      <c r="AA80" t="s">
        <v>94</v>
      </c>
      <c r="AB80" t="s">
        <v>95</v>
      </c>
      <c r="AC80" t="s">
        <v>96</v>
      </c>
      <c r="AD80" t="s">
        <v>123</v>
      </c>
      <c r="AE80" t="s">
        <v>123</v>
      </c>
      <c r="AF80" t="s">
        <v>123</v>
      </c>
      <c r="AN80" t="s">
        <v>123</v>
      </c>
      <c r="AO80" t="str">
        <f>"Potential dilution exceeds recommended threshold"</f>
        <v>Potential dilution exceeds recommended threshold</v>
      </c>
      <c r="AP80" t="str">
        <f>"Potential dilution exceeds recommended threshold"</f>
        <v>Potential dilution exceeds recommended threshold</v>
      </c>
      <c r="AQ80" s="1">
        <v>46055</v>
      </c>
      <c r="AS80">
        <v>5824</v>
      </c>
      <c r="AT80" t="s">
        <v>198</v>
      </c>
      <c r="AU80" t="s">
        <v>197</v>
      </c>
      <c r="AV80">
        <v>5619</v>
      </c>
      <c r="AW80">
        <v>5619</v>
      </c>
      <c r="AX80">
        <v>5619</v>
      </c>
      <c r="AY80">
        <v>0</v>
      </c>
      <c r="AZ80" t="s">
        <v>113</v>
      </c>
      <c r="BB80">
        <v>494263</v>
      </c>
      <c r="BC80" t="s">
        <v>99</v>
      </c>
      <c r="BD80" s="1">
        <v>46174</v>
      </c>
      <c r="BE80" t="s">
        <v>141</v>
      </c>
      <c r="BG80" t="s">
        <v>100</v>
      </c>
      <c r="BH80" t="str">
        <f t="shared" si="3"/>
        <v>720746049</v>
      </c>
      <c r="BI80" t="s">
        <v>101</v>
      </c>
      <c r="BJ80" t="s">
        <v>102</v>
      </c>
      <c r="BK80" t="s">
        <v>102</v>
      </c>
      <c r="BL80">
        <v>794897863</v>
      </c>
      <c r="BM80">
        <v>156198995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951096858</v>
      </c>
      <c r="BT80">
        <v>83.58</v>
      </c>
      <c r="BU80">
        <v>16.420000000000002</v>
      </c>
      <c r="BV80">
        <v>0</v>
      </c>
      <c r="BW80">
        <v>0</v>
      </c>
      <c r="BX80">
        <v>0</v>
      </c>
      <c r="BY80">
        <v>0</v>
      </c>
      <c r="BZ80">
        <v>0</v>
      </c>
    </row>
    <row r="81" spans="1:78">
      <c r="A81" t="s">
        <v>205</v>
      </c>
      <c r="B81" t="s">
        <v>153</v>
      </c>
      <c r="C81" t="s">
        <v>154</v>
      </c>
      <c r="D81" t="s">
        <v>155</v>
      </c>
      <c r="E81">
        <v>40631</v>
      </c>
      <c r="F81" t="s">
        <v>156</v>
      </c>
      <c r="G81">
        <v>1447238</v>
      </c>
      <c r="H81">
        <v>1147911</v>
      </c>
      <c r="I81">
        <v>37101195</v>
      </c>
      <c r="J81">
        <v>419872</v>
      </c>
      <c r="L81" t="s">
        <v>157</v>
      </c>
      <c r="M81" t="s">
        <v>158</v>
      </c>
      <c r="N81" t="s">
        <v>87</v>
      </c>
      <c r="O81" t="s">
        <v>159</v>
      </c>
      <c r="P81" t="s">
        <v>159</v>
      </c>
      <c r="Q81" t="s">
        <v>112</v>
      </c>
      <c r="R81" s="1">
        <v>46144</v>
      </c>
      <c r="S81" t="s">
        <v>160</v>
      </c>
      <c r="T81" t="s">
        <v>137</v>
      </c>
      <c r="U81">
        <v>34</v>
      </c>
      <c r="V81">
        <v>32</v>
      </c>
      <c r="W81" t="str">
        <f>"9"</f>
        <v>9</v>
      </c>
      <c r="X81" t="s">
        <v>199</v>
      </c>
      <c r="AA81" t="s">
        <v>94</v>
      </c>
      <c r="AB81" t="s">
        <v>95</v>
      </c>
      <c r="AC81" t="s">
        <v>96</v>
      </c>
      <c r="AD81" t="s">
        <v>123</v>
      </c>
      <c r="AE81" t="s">
        <v>123</v>
      </c>
      <c r="AF81" t="s">
        <v>95</v>
      </c>
      <c r="AN81" t="s">
        <v>95</v>
      </c>
      <c r="AO81" t="str">
        <f>"Potential dilution exceeds recommended threshold"</f>
        <v>Potential dilution exceeds recommended threshold</v>
      </c>
      <c r="AP81" t="str">
        <f>"Potential dilution exceeds recommended threshold"</f>
        <v>Potential dilution exceeds recommended threshold</v>
      </c>
      <c r="AQ81" s="1">
        <v>46055</v>
      </c>
      <c r="AS81">
        <v>5811</v>
      </c>
      <c r="AT81" t="s">
        <v>198</v>
      </c>
      <c r="AU81" t="s">
        <v>200</v>
      </c>
      <c r="AV81">
        <v>5619</v>
      </c>
      <c r="AW81">
        <v>5619</v>
      </c>
      <c r="AX81">
        <v>5619</v>
      </c>
      <c r="AY81">
        <v>0</v>
      </c>
      <c r="AZ81" t="s">
        <v>113</v>
      </c>
      <c r="BB81">
        <v>494263</v>
      </c>
      <c r="BC81" t="s">
        <v>99</v>
      </c>
      <c r="BD81" s="1">
        <v>46174</v>
      </c>
      <c r="BE81" t="s">
        <v>141</v>
      </c>
      <c r="BG81" t="s">
        <v>100</v>
      </c>
      <c r="BH81" t="str">
        <f t="shared" si="3"/>
        <v>720746049</v>
      </c>
      <c r="BI81" t="s">
        <v>101</v>
      </c>
      <c r="BJ81" t="s">
        <v>123</v>
      </c>
      <c r="BK81" t="s">
        <v>123</v>
      </c>
      <c r="BL81">
        <v>924135361</v>
      </c>
      <c r="BM81">
        <v>26952853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951088214</v>
      </c>
      <c r="BT81">
        <v>97.17</v>
      </c>
      <c r="BU81">
        <v>2.83</v>
      </c>
      <c r="BV81">
        <v>0</v>
      </c>
      <c r="BW81">
        <v>0</v>
      </c>
      <c r="BX81">
        <v>0</v>
      </c>
      <c r="BY81">
        <v>0</v>
      </c>
      <c r="BZ81">
        <v>0</v>
      </c>
    </row>
    <row r="82" spans="1:78">
      <c r="A82" t="s">
        <v>205</v>
      </c>
      <c r="B82" t="s">
        <v>153</v>
      </c>
      <c r="C82" t="s">
        <v>154</v>
      </c>
      <c r="D82" t="s">
        <v>155</v>
      </c>
      <c r="E82">
        <v>40631</v>
      </c>
      <c r="F82" t="s">
        <v>156</v>
      </c>
      <c r="G82">
        <v>1447238</v>
      </c>
      <c r="H82">
        <v>1147911</v>
      </c>
      <c r="I82">
        <v>37101195</v>
      </c>
      <c r="J82">
        <v>419872</v>
      </c>
      <c r="L82" t="s">
        <v>157</v>
      </c>
      <c r="M82" t="s">
        <v>158</v>
      </c>
      <c r="N82" t="s">
        <v>87</v>
      </c>
      <c r="O82" t="s">
        <v>159</v>
      </c>
      <c r="P82" t="s">
        <v>159</v>
      </c>
      <c r="Q82" t="s">
        <v>112</v>
      </c>
      <c r="R82" s="1">
        <v>46144</v>
      </c>
      <c r="S82" t="s">
        <v>160</v>
      </c>
      <c r="T82" t="s">
        <v>137</v>
      </c>
      <c r="U82">
        <v>35</v>
      </c>
      <c r="V82">
        <v>33</v>
      </c>
      <c r="W82" t="str">
        <f>"10"</f>
        <v>10</v>
      </c>
      <c r="X82" t="s">
        <v>201</v>
      </c>
      <c r="AA82" t="s">
        <v>94</v>
      </c>
      <c r="AB82" t="s">
        <v>95</v>
      </c>
      <c r="AC82" t="s">
        <v>96</v>
      </c>
      <c r="AD82" t="s">
        <v>95</v>
      </c>
      <c r="AE82" t="s">
        <v>95</v>
      </c>
      <c r="AF82" t="s">
        <v>95</v>
      </c>
      <c r="AN82" t="s">
        <v>95</v>
      </c>
      <c r="AQ82" s="1">
        <v>46055</v>
      </c>
      <c r="AS82">
        <v>5896</v>
      </c>
      <c r="AT82" t="s">
        <v>198</v>
      </c>
      <c r="AU82" t="s">
        <v>202</v>
      </c>
      <c r="AV82">
        <v>5619</v>
      </c>
      <c r="AW82">
        <v>5619</v>
      </c>
      <c r="AX82">
        <v>5619</v>
      </c>
      <c r="AY82">
        <v>0</v>
      </c>
      <c r="AZ82" t="s">
        <v>113</v>
      </c>
      <c r="BB82">
        <v>494263</v>
      </c>
      <c r="BC82" t="s">
        <v>99</v>
      </c>
      <c r="BD82" s="1">
        <v>46174</v>
      </c>
      <c r="BE82" t="s">
        <v>141</v>
      </c>
      <c r="BG82" t="s">
        <v>100</v>
      </c>
      <c r="BH82" t="str">
        <f t="shared" si="3"/>
        <v>720746049</v>
      </c>
      <c r="BI82" t="s">
        <v>101</v>
      </c>
      <c r="BJ82" t="s">
        <v>102</v>
      </c>
      <c r="BK82" t="s">
        <v>102</v>
      </c>
      <c r="BL82">
        <v>943506364</v>
      </c>
      <c r="BM82">
        <v>7550130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951056494</v>
      </c>
      <c r="BT82">
        <v>99.21</v>
      </c>
      <c r="BU82">
        <v>0.79</v>
      </c>
      <c r="BV82">
        <v>0</v>
      </c>
      <c r="BW82">
        <v>0</v>
      </c>
      <c r="BX82">
        <v>0</v>
      </c>
      <c r="BY82">
        <v>0</v>
      </c>
      <c r="BZ82">
        <v>0</v>
      </c>
    </row>
    <row r="83" spans="1:78">
      <c r="A83" t="s">
        <v>205</v>
      </c>
      <c r="B83" t="s">
        <v>153</v>
      </c>
      <c r="C83" t="s">
        <v>154</v>
      </c>
      <c r="D83" t="s">
        <v>155</v>
      </c>
      <c r="E83">
        <v>40631</v>
      </c>
      <c r="F83" t="s">
        <v>156</v>
      </c>
      <c r="G83">
        <v>1447238</v>
      </c>
      <c r="H83">
        <v>1147911</v>
      </c>
      <c r="I83">
        <v>37101195</v>
      </c>
      <c r="J83">
        <v>419872</v>
      </c>
      <c r="L83" t="s">
        <v>157</v>
      </c>
      <c r="M83" t="s">
        <v>158</v>
      </c>
      <c r="N83" t="s">
        <v>87</v>
      </c>
      <c r="O83" t="s">
        <v>159</v>
      </c>
      <c r="P83" t="s">
        <v>159</v>
      </c>
      <c r="Q83" t="s">
        <v>112</v>
      </c>
      <c r="R83" s="1">
        <v>46144</v>
      </c>
      <c r="S83" t="s">
        <v>160</v>
      </c>
      <c r="T83" t="s">
        <v>137</v>
      </c>
      <c r="U83">
        <v>36</v>
      </c>
      <c r="V83">
        <v>34</v>
      </c>
      <c r="W83" t="str">
        <f>"11"</f>
        <v>11</v>
      </c>
      <c r="X83" t="s">
        <v>203</v>
      </c>
      <c r="AA83" t="s">
        <v>94</v>
      </c>
      <c r="AB83" t="s">
        <v>95</v>
      </c>
      <c r="AC83" t="s">
        <v>96</v>
      </c>
      <c r="AD83" t="s">
        <v>95</v>
      </c>
      <c r="AE83" t="s">
        <v>95</v>
      </c>
      <c r="AF83" t="s">
        <v>95</v>
      </c>
      <c r="AN83" t="s">
        <v>95</v>
      </c>
      <c r="AQ83" s="1">
        <v>46055</v>
      </c>
      <c r="AS83">
        <v>5838</v>
      </c>
      <c r="AT83" t="s">
        <v>198</v>
      </c>
      <c r="AU83" t="s">
        <v>204</v>
      </c>
      <c r="AV83">
        <v>5619</v>
      </c>
      <c r="AW83">
        <v>5619</v>
      </c>
      <c r="AX83">
        <v>5619</v>
      </c>
      <c r="AY83">
        <v>0</v>
      </c>
      <c r="AZ83" t="s">
        <v>113</v>
      </c>
      <c r="BB83">
        <v>494263</v>
      </c>
      <c r="BC83" t="s">
        <v>99</v>
      </c>
      <c r="BD83" s="1">
        <v>46174</v>
      </c>
      <c r="BE83" t="s">
        <v>141</v>
      </c>
      <c r="BG83" t="s">
        <v>100</v>
      </c>
      <c r="BH83" t="str">
        <f t="shared" si="3"/>
        <v>720746049</v>
      </c>
      <c r="BI83" t="s">
        <v>101</v>
      </c>
      <c r="BJ83" t="s">
        <v>102</v>
      </c>
      <c r="BK83" t="s">
        <v>102</v>
      </c>
      <c r="BL83">
        <v>946272960</v>
      </c>
      <c r="BM83">
        <v>4774066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951047026</v>
      </c>
      <c r="BT83">
        <v>99.5</v>
      </c>
      <c r="BU83">
        <v>0.5</v>
      </c>
      <c r="BV83">
        <v>0</v>
      </c>
      <c r="BW83">
        <v>0</v>
      </c>
      <c r="BX83">
        <v>0</v>
      </c>
      <c r="BY83">
        <v>0</v>
      </c>
      <c r="BZ83">
        <v>0</v>
      </c>
    </row>
    <row r="84" spans="1:78">
      <c r="A84" t="s">
        <v>80</v>
      </c>
      <c r="B84" t="s">
        <v>81</v>
      </c>
      <c r="C84" t="s">
        <v>82</v>
      </c>
      <c r="D84" t="s">
        <v>206</v>
      </c>
      <c r="E84">
        <v>30226</v>
      </c>
      <c r="F84" t="s">
        <v>207</v>
      </c>
      <c r="G84">
        <v>1452207</v>
      </c>
      <c r="H84">
        <v>1152191</v>
      </c>
      <c r="I84">
        <v>37122011</v>
      </c>
      <c r="J84">
        <v>426666</v>
      </c>
      <c r="L84" t="s">
        <v>208</v>
      </c>
      <c r="M84" t="s">
        <v>209</v>
      </c>
      <c r="N84" t="s">
        <v>87</v>
      </c>
      <c r="O84" t="s">
        <v>210</v>
      </c>
      <c r="P84" t="s">
        <v>210</v>
      </c>
      <c r="Q84" t="s">
        <v>112</v>
      </c>
      <c r="R84" s="1">
        <v>46358</v>
      </c>
      <c r="T84" s="1">
        <v>46114</v>
      </c>
      <c r="U84">
        <v>1</v>
      </c>
      <c r="V84">
        <v>1</v>
      </c>
      <c r="W84" t="str">
        <f>"1"</f>
        <v>1</v>
      </c>
      <c r="X84" t="s">
        <v>211</v>
      </c>
      <c r="AA84" t="s">
        <v>94</v>
      </c>
      <c r="AB84" t="s">
        <v>95</v>
      </c>
      <c r="AC84" t="s">
        <v>96</v>
      </c>
      <c r="AD84" t="s">
        <v>95</v>
      </c>
      <c r="AE84" t="s">
        <v>95</v>
      </c>
      <c r="AF84" t="s">
        <v>95</v>
      </c>
      <c r="AN84" t="s">
        <v>95</v>
      </c>
      <c r="AQ84" s="1">
        <v>46114</v>
      </c>
      <c r="AS84">
        <v>5030</v>
      </c>
      <c r="AT84" t="s">
        <v>126</v>
      </c>
      <c r="AU84" t="s">
        <v>212</v>
      </c>
      <c r="AV84">
        <v>2423333</v>
      </c>
      <c r="AW84">
        <v>2423333</v>
      </c>
      <c r="AY84">
        <v>0</v>
      </c>
      <c r="AZ84" t="s">
        <v>113</v>
      </c>
      <c r="BB84">
        <v>493999</v>
      </c>
      <c r="BC84" t="s">
        <v>99</v>
      </c>
      <c r="BD84" t="s">
        <v>213</v>
      </c>
      <c r="BE84" t="s">
        <v>141</v>
      </c>
      <c r="BG84" t="s">
        <v>100</v>
      </c>
      <c r="BH84" t="str">
        <f t="shared" ref="BH84:BH98" si="4">"720804776"</f>
        <v>720804776</v>
      </c>
      <c r="BI84" t="s">
        <v>101</v>
      </c>
      <c r="BJ84" t="s">
        <v>102</v>
      </c>
      <c r="BK84" t="s">
        <v>102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</row>
    <row r="85" spans="1:78">
      <c r="A85" t="s">
        <v>80</v>
      </c>
      <c r="B85" t="s">
        <v>81</v>
      </c>
      <c r="C85" t="s">
        <v>82</v>
      </c>
      <c r="D85" t="s">
        <v>206</v>
      </c>
      <c r="E85">
        <v>30226</v>
      </c>
      <c r="F85" t="s">
        <v>207</v>
      </c>
      <c r="G85">
        <v>1452207</v>
      </c>
      <c r="H85">
        <v>1152191</v>
      </c>
      <c r="I85">
        <v>37122011</v>
      </c>
      <c r="J85">
        <v>426666</v>
      </c>
      <c r="L85" t="s">
        <v>208</v>
      </c>
      <c r="M85" t="s">
        <v>209</v>
      </c>
      <c r="N85" t="s">
        <v>87</v>
      </c>
      <c r="O85" t="s">
        <v>210</v>
      </c>
      <c r="P85" t="s">
        <v>210</v>
      </c>
      <c r="Q85" t="s">
        <v>112</v>
      </c>
      <c r="R85" s="1">
        <v>46358</v>
      </c>
      <c r="T85" s="1">
        <v>46114</v>
      </c>
      <c r="U85">
        <v>2</v>
      </c>
      <c r="V85">
        <v>2</v>
      </c>
      <c r="W85" t="str">
        <f>"2"</f>
        <v>2</v>
      </c>
      <c r="X85" t="s">
        <v>193</v>
      </c>
      <c r="AA85" t="s">
        <v>94</v>
      </c>
      <c r="AB85" t="s">
        <v>95</v>
      </c>
      <c r="AC85" t="s">
        <v>96</v>
      </c>
      <c r="AD85" t="s">
        <v>95</v>
      </c>
      <c r="AE85" t="s">
        <v>95</v>
      </c>
      <c r="AF85" t="s">
        <v>95</v>
      </c>
      <c r="AN85" t="s">
        <v>95</v>
      </c>
      <c r="AQ85" s="1">
        <v>46114</v>
      </c>
      <c r="AS85">
        <v>5500</v>
      </c>
      <c r="AT85" t="s">
        <v>128</v>
      </c>
      <c r="AU85" t="s">
        <v>214</v>
      </c>
      <c r="AV85">
        <v>2423333</v>
      </c>
      <c r="AW85">
        <v>2423333</v>
      </c>
      <c r="AY85">
        <v>0</v>
      </c>
      <c r="AZ85" t="s">
        <v>113</v>
      </c>
      <c r="BB85">
        <v>493999</v>
      </c>
      <c r="BC85" t="s">
        <v>99</v>
      </c>
      <c r="BD85" t="s">
        <v>213</v>
      </c>
      <c r="BE85" t="s">
        <v>141</v>
      </c>
      <c r="BG85" t="s">
        <v>100</v>
      </c>
      <c r="BH85" t="str">
        <f t="shared" si="4"/>
        <v>720804776</v>
      </c>
      <c r="BI85" t="s">
        <v>101</v>
      </c>
      <c r="BJ85" t="s">
        <v>102</v>
      </c>
      <c r="BK85" t="s">
        <v>102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</row>
    <row r="86" spans="1:78">
      <c r="A86" t="s">
        <v>80</v>
      </c>
      <c r="B86" t="s">
        <v>81</v>
      </c>
      <c r="C86" t="s">
        <v>82</v>
      </c>
      <c r="D86" t="s">
        <v>206</v>
      </c>
      <c r="E86">
        <v>30226</v>
      </c>
      <c r="F86" t="s">
        <v>207</v>
      </c>
      <c r="G86">
        <v>1452207</v>
      </c>
      <c r="H86">
        <v>1152191</v>
      </c>
      <c r="I86">
        <v>37122011</v>
      </c>
      <c r="J86">
        <v>426666</v>
      </c>
      <c r="L86" t="s">
        <v>208</v>
      </c>
      <c r="M86" t="s">
        <v>209</v>
      </c>
      <c r="N86" t="s">
        <v>87</v>
      </c>
      <c r="O86" t="s">
        <v>210</v>
      </c>
      <c r="P86" t="s">
        <v>210</v>
      </c>
      <c r="Q86" t="s">
        <v>112</v>
      </c>
      <c r="R86" s="1">
        <v>46358</v>
      </c>
      <c r="T86" s="1">
        <v>46114</v>
      </c>
      <c r="U86">
        <v>3</v>
      </c>
      <c r="V86">
        <v>3</v>
      </c>
      <c r="W86" t="str">
        <f>"3"</f>
        <v>3</v>
      </c>
      <c r="X86" t="s">
        <v>215</v>
      </c>
      <c r="Y86">
        <v>3526245</v>
      </c>
      <c r="Z86">
        <v>504135</v>
      </c>
      <c r="AA86" t="s">
        <v>94</v>
      </c>
      <c r="AB86" t="s">
        <v>95</v>
      </c>
      <c r="AC86" t="s">
        <v>96</v>
      </c>
      <c r="AD86" t="s">
        <v>95</v>
      </c>
      <c r="AE86" t="s">
        <v>95</v>
      </c>
      <c r="AF86" t="s">
        <v>123</v>
      </c>
      <c r="AN86" t="s">
        <v>123</v>
      </c>
      <c r="AO86" t="str">
        <f>"The company has not set a net zero carbon target to be achieved by 2050 at the latest."</f>
        <v>The company has not set a net zero carbon target to be achieved by 2050 at the latest.</v>
      </c>
      <c r="AQ86" s="1">
        <v>46114</v>
      </c>
      <c r="AS86">
        <v>5100</v>
      </c>
      <c r="AT86" t="s">
        <v>117</v>
      </c>
      <c r="AU86" t="s">
        <v>118</v>
      </c>
      <c r="AV86">
        <v>2423333</v>
      </c>
      <c r="AW86">
        <v>2423333</v>
      </c>
      <c r="AY86">
        <v>0</v>
      </c>
      <c r="AZ86" t="s">
        <v>113</v>
      </c>
      <c r="BB86">
        <v>493999</v>
      </c>
      <c r="BC86" t="s">
        <v>99</v>
      </c>
      <c r="BD86" t="s">
        <v>213</v>
      </c>
      <c r="BE86" t="s">
        <v>141</v>
      </c>
      <c r="BG86" t="s">
        <v>100</v>
      </c>
      <c r="BH86" t="str">
        <f t="shared" si="4"/>
        <v>720804776</v>
      </c>
      <c r="BI86" t="s">
        <v>101</v>
      </c>
      <c r="BJ86" t="s">
        <v>123</v>
      </c>
      <c r="BK86" t="s">
        <v>123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</row>
    <row r="87" spans="1:78">
      <c r="A87" t="s">
        <v>80</v>
      </c>
      <c r="B87" t="s">
        <v>81</v>
      </c>
      <c r="C87" t="s">
        <v>82</v>
      </c>
      <c r="D87" t="s">
        <v>206</v>
      </c>
      <c r="E87">
        <v>30226</v>
      </c>
      <c r="F87" t="s">
        <v>207</v>
      </c>
      <c r="G87">
        <v>1452207</v>
      </c>
      <c r="H87">
        <v>1152191</v>
      </c>
      <c r="I87">
        <v>37122011</v>
      </c>
      <c r="J87">
        <v>426666</v>
      </c>
      <c r="L87" t="s">
        <v>208</v>
      </c>
      <c r="M87" t="s">
        <v>209</v>
      </c>
      <c r="N87" t="s">
        <v>87</v>
      </c>
      <c r="O87" t="s">
        <v>210</v>
      </c>
      <c r="P87" t="s">
        <v>210</v>
      </c>
      <c r="Q87" t="s">
        <v>112</v>
      </c>
      <c r="R87" s="1">
        <v>46358</v>
      </c>
      <c r="T87" s="1">
        <v>46114</v>
      </c>
      <c r="U87">
        <v>4</v>
      </c>
      <c r="V87">
        <v>4</v>
      </c>
      <c r="W87" t="str">
        <f>"4"</f>
        <v>4</v>
      </c>
      <c r="X87" t="s">
        <v>216</v>
      </c>
      <c r="Y87">
        <v>3526242</v>
      </c>
      <c r="Z87">
        <v>231814</v>
      </c>
      <c r="AA87" t="s">
        <v>94</v>
      </c>
      <c r="AB87" t="s">
        <v>95</v>
      </c>
      <c r="AC87" t="s">
        <v>96</v>
      </c>
      <c r="AD87" t="s">
        <v>95</v>
      </c>
      <c r="AE87" t="s">
        <v>95</v>
      </c>
      <c r="AF87" t="s">
        <v>95</v>
      </c>
      <c r="AN87" t="s">
        <v>95</v>
      </c>
      <c r="AQ87" s="1">
        <v>46114</v>
      </c>
      <c r="AS87">
        <v>5100</v>
      </c>
      <c r="AT87" t="s">
        <v>117</v>
      </c>
      <c r="AU87" t="s">
        <v>118</v>
      </c>
      <c r="AV87">
        <v>2423333</v>
      </c>
      <c r="AW87">
        <v>2423333</v>
      </c>
      <c r="AY87">
        <v>0</v>
      </c>
      <c r="AZ87" t="s">
        <v>113</v>
      </c>
      <c r="BB87">
        <v>493999</v>
      </c>
      <c r="BC87" t="s">
        <v>99</v>
      </c>
      <c r="BD87" t="s">
        <v>213</v>
      </c>
      <c r="BE87" t="s">
        <v>141</v>
      </c>
      <c r="BG87" t="s">
        <v>100</v>
      </c>
      <c r="BH87" t="str">
        <f t="shared" si="4"/>
        <v>720804776</v>
      </c>
      <c r="BI87" t="s">
        <v>101</v>
      </c>
      <c r="BJ87" t="s">
        <v>102</v>
      </c>
      <c r="BK87" t="s">
        <v>102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</row>
    <row r="88" spans="1:78">
      <c r="A88" t="s">
        <v>80</v>
      </c>
      <c r="B88" t="s">
        <v>81</v>
      </c>
      <c r="C88" t="s">
        <v>82</v>
      </c>
      <c r="D88" t="s">
        <v>206</v>
      </c>
      <c r="E88">
        <v>30226</v>
      </c>
      <c r="F88" t="s">
        <v>207</v>
      </c>
      <c r="G88">
        <v>1452207</v>
      </c>
      <c r="H88">
        <v>1152191</v>
      </c>
      <c r="I88">
        <v>37122011</v>
      </c>
      <c r="J88">
        <v>426666</v>
      </c>
      <c r="L88" t="s">
        <v>208</v>
      </c>
      <c r="M88" t="s">
        <v>209</v>
      </c>
      <c r="N88" t="s">
        <v>87</v>
      </c>
      <c r="O88" t="s">
        <v>210</v>
      </c>
      <c r="P88" t="s">
        <v>210</v>
      </c>
      <c r="Q88" t="s">
        <v>112</v>
      </c>
      <c r="R88" s="1">
        <v>46358</v>
      </c>
      <c r="T88" s="1">
        <v>46114</v>
      </c>
      <c r="U88">
        <v>5</v>
      </c>
      <c r="V88">
        <v>5</v>
      </c>
      <c r="W88" t="str">
        <f>"5"</f>
        <v>5</v>
      </c>
      <c r="X88" t="s">
        <v>217</v>
      </c>
      <c r="Y88">
        <v>3526244</v>
      </c>
      <c r="Z88">
        <v>438835</v>
      </c>
      <c r="AA88" t="s">
        <v>94</v>
      </c>
      <c r="AB88" t="s">
        <v>95</v>
      </c>
      <c r="AC88" t="s">
        <v>96</v>
      </c>
      <c r="AD88" t="s">
        <v>95</v>
      </c>
      <c r="AE88" t="s">
        <v>95</v>
      </c>
      <c r="AF88" t="s">
        <v>95</v>
      </c>
      <c r="AN88" t="s">
        <v>95</v>
      </c>
      <c r="AQ88" s="1">
        <v>46114</v>
      </c>
      <c r="AS88">
        <v>5100</v>
      </c>
      <c r="AT88" t="s">
        <v>117</v>
      </c>
      <c r="AU88" t="s">
        <v>118</v>
      </c>
      <c r="AV88">
        <v>2423333</v>
      </c>
      <c r="AW88">
        <v>2423333</v>
      </c>
      <c r="AY88">
        <v>0</v>
      </c>
      <c r="AZ88" t="s">
        <v>113</v>
      </c>
      <c r="BB88">
        <v>493999</v>
      </c>
      <c r="BC88" t="s">
        <v>99</v>
      </c>
      <c r="BD88" t="s">
        <v>213</v>
      </c>
      <c r="BE88" t="s">
        <v>141</v>
      </c>
      <c r="BG88" t="s">
        <v>100</v>
      </c>
      <c r="BH88" t="str">
        <f t="shared" si="4"/>
        <v>720804776</v>
      </c>
      <c r="BI88" t="s">
        <v>101</v>
      </c>
      <c r="BJ88" t="s">
        <v>102</v>
      </c>
      <c r="BK88" t="s">
        <v>102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</row>
    <row r="89" spans="1:78">
      <c r="A89" t="s">
        <v>80</v>
      </c>
      <c r="B89" t="s">
        <v>81</v>
      </c>
      <c r="C89" t="s">
        <v>82</v>
      </c>
      <c r="D89" t="s">
        <v>206</v>
      </c>
      <c r="E89">
        <v>30226</v>
      </c>
      <c r="F89" t="s">
        <v>207</v>
      </c>
      <c r="G89">
        <v>1452207</v>
      </c>
      <c r="H89">
        <v>1152191</v>
      </c>
      <c r="I89">
        <v>37122011</v>
      </c>
      <c r="J89">
        <v>426666</v>
      </c>
      <c r="L89" t="s">
        <v>208</v>
      </c>
      <c r="M89" t="s">
        <v>209</v>
      </c>
      <c r="N89" t="s">
        <v>87</v>
      </c>
      <c r="O89" t="s">
        <v>210</v>
      </c>
      <c r="P89" t="s">
        <v>210</v>
      </c>
      <c r="Q89" t="s">
        <v>112</v>
      </c>
      <c r="R89" s="1">
        <v>46358</v>
      </c>
      <c r="T89" s="1">
        <v>46114</v>
      </c>
      <c r="U89">
        <v>6</v>
      </c>
      <c r="V89">
        <v>6</v>
      </c>
      <c r="W89" t="str">
        <f>"6"</f>
        <v>6</v>
      </c>
      <c r="X89" t="s">
        <v>218</v>
      </c>
      <c r="Y89">
        <v>3526246</v>
      </c>
      <c r="Z89">
        <v>585506</v>
      </c>
      <c r="AA89" t="s">
        <v>94</v>
      </c>
      <c r="AB89" t="s">
        <v>95</v>
      </c>
      <c r="AC89" t="s">
        <v>96</v>
      </c>
      <c r="AD89" t="s">
        <v>95</v>
      </c>
      <c r="AE89" t="s">
        <v>95</v>
      </c>
      <c r="AF89" t="s">
        <v>95</v>
      </c>
      <c r="AN89" t="s">
        <v>95</v>
      </c>
      <c r="AQ89" s="1">
        <v>46114</v>
      </c>
      <c r="AS89">
        <v>5100</v>
      </c>
      <c r="AT89" t="s">
        <v>117</v>
      </c>
      <c r="AU89" t="s">
        <v>118</v>
      </c>
      <c r="AV89">
        <v>2423333</v>
      </c>
      <c r="AW89">
        <v>2423333</v>
      </c>
      <c r="AY89">
        <v>0</v>
      </c>
      <c r="AZ89" t="s">
        <v>113</v>
      </c>
      <c r="BB89">
        <v>493999</v>
      </c>
      <c r="BC89" t="s">
        <v>99</v>
      </c>
      <c r="BD89" t="s">
        <v>213</v>
      </c>
      <c r="BE89" t="s">
        <v>141</v>
      </c>
      <c r="BG89" t="s">
        <v>100</v>
      </c>
      <c r="BH89" t="str">
        <f t="shared" si="4"/>
        <v>720804776</v>
      </c>
      <c r="BI89" t="s">
        <v>101</v>
      </c>
      <c r="BJ89" t="s">
        <v>102</v>
      </c>
      <c r="BK89" t="s">
        <v>102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</row>
    <row r="90" spans="1:78">
      <c r="A90" t="s">
        <v>80</v>
      </c>
      <c r="B90" t="s">
        <v>81</v>
      </c>
      <c r="C90" t="s">
        <v>82</v>
      </c>
      <c r="D90" t="s">
        <v>206</v>
      </c>
      <c r="E90">
        <v>30226</v>
      </c>
      <c r="F90" t="s">
        <v>207</v>
      </c>
      <c r="G90">
        <v>1452207</v>
      </c>
      <c r="H90">
        <v>1152191</v>
      </c>
      <c r="I90">
        <v>37122011</v>
      </c>
      <c r="J90">
        <v>426666</v>
      </c>
      <c r="L90" t="s">
        <v>208</v>
      </c>
      <c r="M90" t="s">
        <v>209</v>
      </c>
      <c r="N90" t="s">
        <v>87</v>
      </c>
      <c r="O90" t="s">
        <v>210</v>
      </c>
      <c r="P90" t="s">
        <v>210</v>
      </c>
      <c r="Q90" t="s">
        <v>112</v>
      </c>
      <c r="R90" s="1">
        <v>46358</v>
      </c>
      <c r="T90" s="1">
        <v>46114</v>
      </c>
      <c r="U90">
        <v>7</v>
      </c>
      <c r="V90">
        <v>7</v>
      </c>
      <c r="W90" t="str">
        <f>"7"</f>
        <v>7</v>
      </c>
      <c r="X90" t="s">
        <v>219</v>
      </c>
      <c r="Y90">
        <v>3526247</v>
      </c>
      <c r="Z90">
        <v>634464</v>
      </c>
      <c r="AA90" t="s">
        <v>94</v>
      </c>
      <c r="AB90" t="s">
        <v>95</v>
      </c>
      <c r="AC90" t="s">
        <v>96</v>
      </c>
      <c r="AD90" t="s">
        <v>95</v>
      </c>
      <c r="AE90" t="s">
        <v>95</v>
      </c>
      <c r="AF90" t="s">
        <v>95</v>
      </c>
      <c r="AN90" t="s">
        <v>95</v>
      </c>
      <c r="AQ90" s="1">
        <v>46114</v>
      </c>
      <c r="AS90">
        <v>5100</v>
      </c>
      <c r="AT90" t="s">
        <v>117</v>
      </c>
      <c r="AU90" t="s">
        <v>118</v>
      </c>
      <c r="AV90">
        <v>2423333</v>
      </c>
      <c r="AW90">
        <v>2423333</v>
      </c>
      <c r="AY90">
        <v>0</v>
      </c>
      <c r="AZ90" t="s">
        <v>113</v>
      </c>
      <c r="BB90">
        <v>493999</v>
      </c>
      <c r="BC90" t="s">
        <v>99</v>
      </c>
      <c r="BD90" t="s">
        <v>213</v>
      </c>
      <c r="BE90" t="s">
        <v>141</v>
      </c>
      <c r="BG90" t="s">
        <v>100</v>
      </c>
      <c r="BH90" t="str">
        <f t="shared" si="4"/>
        <v>720804776</v>
      </c>
      <c r="BI90" t="s">
        <v>101</v>
      </c>
      <c r="BJ90" t="s">
        <v>102</v>
      </c>
      <c r="BK90" t="s">
        <v>102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</row>
    <row r="91" spans="1:78">
      <c r="A91" t="s">
        <v>80</v>
      </c>
      <c r="B91" t="s">
        <v>81</v>
      </c>
      <c r="C91" t="s">
        <v>82</v>
      </c>
      <c r="D91" t="s">
        <v>206</v>
      </c>
      <c r="E91">
        <v>30226</v>
      </c>
      <c r="F91" t="s">
        <v>207</v>
      </c>
      <c r="G91">
        <v>1452207</v>
      </c>
      <c r="H91">
        <v>1152191</v>
      </c>
      <c r="I91">
        <v>37122011</v>
      </c>
      <c r="J91">
        <v>426666</v>
      </c>
      <c r="L91" t="s">
        <v>208</v>
      </c>
      <c r="M91" t="s">
        <v>209</v>
      </c>
      <c r="N91" t="s">
        <v>87</v>
      </c>
      <c r="O91" t="s">
        <v>210</v>
      </c>
      <c r="P91" t="s">
        <v>210</v>
      </c>
      <c r="Q91" t="s">
        <v>112</v>
      </c>
      <c r="R91" s="1">
        <v>46358</v>
      </c>
      <c r="T91" s="1">
        <v>46114</v>
      </c>
      <c r="U91">
        <v>8</v>
      </c>
      <c r="V91">
        <v>8</v>
      </c>
      <c r="W91" t="str">
        <f>"8"</f>
        <v>8</v>
      </c>
      <c r="X91" t="s">
        <v>220</v>
      </c>
      <c r="Y91">
        <v>3526270</v>
      </c>
      <c r="Z91">
        <v>598007</v>
      </c>
      <c r="AA91" t="s">
        <v>94</v>
      </c>
      <c r="AB91" t="s">
        <v>95</v>
      </c>
      <c r="AC91" t="s">
        <v>96</v>
      </c>
      <c r="AD91" t="s">
        <v>95</v>
      </c>
      <c r="AE91" t="s">
        <v>95</v>
      </c>
      <c r="AF91" t="s">
        <v>95</v>
      </c>
      <c r="AN91" t="s">
        <v>95</v>
      </c>
      <c r="AQ91" s="1">
        <v>46114</v>
      </c>
      <c r="AS91">
        <v>5100</v>
      </c>
      <c r="AT91" t="s">
        <v>117</v>
      </c>
      <c r="AU91" t="s">
        <v>118</v>
      </c>
      <c r="AV91">
        <v>2423333</v>
      </c>
      <c r="AW91">
        <v>2423333</v>
      </c>
      <c r="AY91">
        <v>0</v>
      </c>
      <c r="AZ91" t="s">
        <v>113</v>
      </c>
      <c r="BB91">
        <v>493999</v>
      </c>
      <c r="BC91" t="s">
        <v>99</v>
      </c>
      <c r="BD91" t="s">
        <v>213</v>
      </c>
      <c r="BE91" t="s">
        <v>141</v>
      </c>
      <c r="BG91" t="s">
        <v>100</v>
      </c>
      <c r="BH91" t="str">
        <f t="shared" si="4"/>
        <v>720804776</v>
      </c>
      <c r="BI91" t="s">
        <v>101</v>
      </c>
      <c r="BJ91" t="s">
        <v>102</v>
      </c>
      <c r="BK91" t="s">
        <v>102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</row>
    <row r="92" spans="1:78">
      <c r="A92" t="s">
        <v>80</v>
      </c>
      <c r="B92" t="s">
        <v>81</v>
      </c>
      <c r="C92" t="s">
        <v>82</v>
      </c>
      <c r="D92" t="s">
        <v>206</v>
      </c>
      <c r="E92">
        <v>30226</v>
      </c>
      <c r="F92" t="s">
        <v>207</v>
      </c>
      <c r="G92">
        <v>1452207</v>
      </c>
      <c r="H92">
        <v>1152191</v>
      </c>
      <c r="I92">
        <v>37122011</v>
      </c>
      <c r="J92">
        <v>426666</v>
      </c>
      <c r="L92" t="s">
        <v>208</v>
      </c>
      <c r="M92" t="s">
        <v>209</v>
      </c>
      <c r="N92" t="s">
        <v>87</v>
      </c>
      <c r="O92" t="s">
        <v>210</v>
      </c>
      <c r="P92" t="s">
        <v>210</v>
      </c>
      <c r="Q92" t="s">
        <v>112</v>
      </c>
      <c r="R92" s="1">
        <v>46358</v>
      </c>
      <c r="T92" s="1">
        <v>46114</v>
      </c>
      <c r="U92">
        <v>9</v>
      </c>
      <c r="V92">
        <v>9</v>
      </c>
      <c r="W92" t="str">
        <f>"9"</f>
        <v>9</v>
      </c>
      <c r="X92" t="s">
        <v>221</v>
      </c>
      <c r="AA92" t="s">
        <v>94</v>
      </c>
      <c r="AB92" t="s">
        <v>95</v>
      </c>
      <c r="AC92" t="s">
        <v>96</v>
      </c>
      <c r="AD92" t="s">
        <v>95</v>
      </c>
      <c r="AE92" t="s">
        <v>95</v>
      </c>
      <c r="AF92" t="s">
        <v>95</v>
      </c>
      <c r="AN92" t="s">
        <v>95</v>
      </c>
      <c r="AQ92" s="1">
        <v>46114</v>
      </c>
      <c r="AS92">
        <v>5000</v>
      </c>
      <c r="AT92" t="s">
        <v>126</v>
      </c>
      <c r="AU92" t="s">
        <v>162</v>
      </c>
      <c r="AV92">
        <v>2423333</v>
      </c>
      <c r="AW92">
        <v>2423333</v>
      </c>
      <c r="AY92">
        <v>0</v>
      </c>
      <c r="AZ92" t="s">
        <v>113</v>
      </c>
      <c r="BB92">
        <v>493999</v>
      </c>
      <c r="BC92" t="s">
        <v>99</v>
      </c>
      <c r="BD92" t="s">
        <v>213</v>
      </c>
      <c r="BE92" t="s">
        <v>141</v>
      </c>
      <c r="BG92" t="s">
        <v>100</v>
      </c>
      <c r="BH92" t="str">
        <f t="shared" si="4"/>
        <v>720804776</v>
      </c>
      <c r="BI92" t="s">
        <v>101</v>
      </c>
      <c r="BJ92" t="s">
        <v>102</v>
      </c>
      <c r="BK92" t="s">
        <v>102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</row>
    <row r="93" spans="1:78">
      <c r="A93" t="s">
        <v>80</v>
      </c>
      <c r="B93" t="s">
        <v>81</v>
      </c>
      <c r="C93" t="s">
        <v>82</v>
      </c>
      <c r="D93" t="s">
        <v>206</v>
      </c>
      <c r="E93">
        <v>30226</v>
      </c>
      <c r="F93" t="s">
        <v>207</v>
      </c>
      <c r="G93">
        <v>1452207</v>
      </c>
      <c r="H93">
        <v>1152191</v>
      </c>
      <c r="I93">
        <v>37122011</v>
      </c>
      <c r="J93">
        <v>426666</v>
      </c>
      <c r="L93" t="s">
        <v>208</v>
      </c>
      <c r="M93" t="s">
        <v>209</v>
      </c>
      <c r="N93" t="s">
        <v>87</v>
      </c>
      <c r="O93" t="s">
        <v>210</v>
      </c>
      <c r="P93" t="s">
        <v>210</v>
      </c>
      <c r="Q93" t="s">
        <v>112</v>
      </c>
      <c r="R93" s="1">
        <v>46358</v>
      </c>
      <c r="T93" s="1">
        <v>46114</v>
      </c>
      <c r="U93">
        <v>10</v>
      </c>
      <c r="V93">
        <v>10</v>
      </c>
      <c r="W93" t="str">
        <f>"10"</f>
        <v>10</v>
      </c>
      <c r="X93" t="s">
        <v>190</v>
      </c>
      <c r="AA93" t="s">
        <v>94</v>
      </c>
      <c r="AB93" t="s">
        <v>95</v>
      </c>
      <c r="AC93" t="s">
        <v>96</v>
      </c>
      <c r="AD93" t="s">
        <v>95</v>
      </c>
      <c r="AE93" t="s">
        <v>95</v>
      </c>
      <c r="AF93" t="s">
        <v>95</v>
      </c>
      <c r="AN93" t="s">
        <v>95</v>
      </c>
      <c r="AQ93" s="1">
        <v>46114</v>
      </c>
      <c r="AS93">
        <v>5200</v>
      </c>
      <c r="AT93" t="s">
        <v>126</v>
      </c>
      <c r="AU93" t="s">
        <v>190</v>
      </c>
      <c r="AV93">
        <v>2423333</v>
      </c>
      <c r="AW93">
        <v>2423333</v>
      </c>
      <c r="AY93">
        <v>0</v>
      </c>
      <c r="AZ93" t="s">
        <v>113</v>
      </c>
      <c r="BB93">
        <v>493999</v>
      </c>
      <c r="BC93" t="s">
        <v>99</v>
      </c>
      <c r="BD93" t="s">
        <v>213</v>
      </c>
      <c r="BE93" t="s">
        <v>141</v>
      </c>
      <c r="BG93" t="s">
        <v>100</v>
      </c>
      <c r="BH93" t="str">
        <f t="shared" si="4"/>
        <v>720804776</v>
      </c>
      <c r="BI93" t="s">
        <v>101</v>
      </c>
      <c r="BJ93" t="s">
        <v>102</v>
      </c>
      <c r="BK93" t="s">
        <v>102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</row>
    <row r="94" spans="1:78">
      <c r="A94" t="s">
        <v>80</v>
      </c>
      <c r="B94" t="s">
        <v>81</v>
      </c>
      <c r="C94" t="s">
        <v>82</v>
      </c>
      <c r="D94" t="s">
        <v>206</v>
      </c>
      <c r="E94">
        <v>30226</v>
      </c>
      <c r="F94" t="s">
        <v>207</v>
      </c>
      <c r="G94">
        <v>1452207</v>
      </c>
      <c r="H94">
        <v>1152191</v>
      </c>
      <c r="I94">
        <v>37122011</v>
      </c>
      <c r="J94">
        <v>426666</v>
      </c>
      <c r="L94" t="s">
        <v>208</v>
      </c>
      <c r="M94" t="s">
        <v>209</v>
      </c>
      <c r="N94" t="s">
        <v>87</v>
      </c>
      <c r="O94" t="s">
        <v>210</v>
      </c>
      <c r="P94" t="s">
        <v>210</v>
      </c>
      <c r="Q94" t="s">
        <v>112</v>
      </c>
      <c r="R94" s="1">
        <v>46358</v>
      </c>
      <c r="T94" s="1">
        <v>46114</v>
      </c>
      <c r="U94">
        <v>11</v>
      </c>
      <c r="V94">
        <v>11</v>
      </c>
      <c r="W94" t="str">
        <f>"11"</f>
        <v>11</v>
      </c>
      <c r="X94" t="s">
        <v>222</v>
      </c>
      <c r="AA94" t="s">
        <v>94</v>
      </c>
      <c r="AB94" t="s">
        <v>95</v>
      </c>
      <c r="AC94" t="s">
        <v>96</v>
      </c>
      <c r="AD94" t="s">
        <v>95</v>
      </c>
      <c r="AE94" t="s">
        <v>95</v>
      </c>
      <c r="AF94" t="s">
        <v>95</v>
      </c>
      <c r="AN94" t="s">
        <v>95</v>
      </c>
      <c r="AQ94" s="1">
        <v>46114</v>
      </c>
      <c r="AS94">
        <v>5230</v>
      </c>
      <c r="AT94" t="s">
        <v>126</v>
      </c>
      <c r="AU94" t="s">
        <v>222</v>
      </c>
      <c r="AV94">
        <v>2423333</v>
      </c>
      <c r="AW94">
        <v>2423333</v>
      </c>
      <c r="AY94">
        <v>0</v>
      </c>
      <c r="AZ94" t="s">
        <v>113</v>
      </c>
      <c r="BB94">
        <v>493999</v>
      </c>
      <c r="BC94" t="s">
        <v>99</v>
      </c>
      <c r="BD94" t="s">
        <v>213</v>
      </c>
      <c r="BE94" t="s">
        <v>141</v>
      </c>
      <c r="BG94" t="s">
        <v>100</v>
      </c>
      <c r="BH94" t="str">
        <f t="shared" si="4"/>
        <v>720804776</v>
      </c>
      <c r="BI94" t="s">
        <v>101</v>
      </c>
      <c r="BJ94" t="s">
        <v>102</v>
      </c>
      <c r="BK94" t="s">
        <v>102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</row>
    <row r="95" spans="1:78">
      <c r="A95" t="s">
        <v>80</v>
      </c>
      <c r="B95" t="s">
        <v>81</v>
      </c>
      <c r="C95" t="s">
        <v>82</v>
      </c>
      <c r="D95" t="s">
        <v>206</v>
      </c>
      <c r="E95">
        <v>30226</v>
      </c>
      <c r="F95" t="s">
        <v>207</v>
      </c>
      <c r="G95">
        <v>1452207</v>
      </c>
      <c r="H95">
        <v>1152191</v>
      </c>
      <c r="I95">
        <v>37122011</v>
      </c>
      <c r="J95">
        <v>426666</v>
      </c>
      <c r="L95" t="s">
        <v>208</v>
      </c>
      <c r="M95" t="s">
        <v>209</v>
      </c>
      <c r="N95" t="s">
        <v>87</v>
      </c>
      <c r="O95" t="s">
        <v>210</v>
      </c>
      <c r="P95" t="s">
        <v>210</v>
      </c>
      <c r="Q95" t="s">
        <v>112</v>
      </c>
      <c r="R95" s="1">
        <v>46358</v>
      </c>
      <c r="T95" s="1">
        <v>46114</v>
      </c>
      <c r="U95">
        <v>12</v>
      </c>
      <c r="V95">
        <v>12</v>
      </c>
      <c r="W95" t="str">
        <f>"12"</f>
        <v>12</v>
      </c>
      <c r="X95" t="s">
        <v>223</v>
      </c>
      <c r="AA95" t="s">
        <v>94</v>
      </c>
      <c r="AB95" t="s">
        <v>95</v>
      </c>
      <c r="AC95" t="s">
        <v>96</v>
      </c>
      <c r="AD95" t="s">
        <v>95</v>
      </c>
      <c r="AE95" t="s">
        <v>95</v>
      </c>
      <c r="AF95" t="s">
        <v>95</v>
      </c>
      <c r="AN95" t="s">
        <v>95</v>
      </c>
      <c r="AQ95" s="1">
        <v>46114</v>
      </c>
      <c r="AS95">
        <v>5834</v>
      </c>
      <c r="AT95" t="s">
        <v>198</v>
      </c>
      <c r="AU95" t="s">
        <v>224</v>
      </c>
      <c r="AV95">
        <v>2423333</v>
      </c>
      <c r="AW95">
        <v>2423333</v>
      </c>
      <c r="AY95">
        <v>0</v>
      </c>
      <c r="AZ95" t="s">
        <v>113</v>
      </c>
      <c r="BB95">
        <v>493999</v>
      </c>
      <c r="BC95" t="s">
        <v>99</v>
      </c>
      <c r="BD95" t="s">
        <v>213</v>
      </c>
      <c r="BE95" t="s">
        <v>141</v>
      </c>
      <c r="BG95" t="s">
        <v>100</v>
      </c>
      <c r="BH95" t="str">
        <f t="shared" si="4"/>
        <v>720804776</v>
      </c>
      <c r="BI95" t="s">
        <v>101</v>
      </c>
      <c r="BJ95" t="s">
        <v>102</v>
      </c>
      <c r="BK95" t="s">
        <v>102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</row>
    <row r="96" spans="1:78">
      <c r="A96" t="s">
        <v>80</v>
      </c>
      <c r="B96" t="s">
        <v>81</v>
      </c>
      <c r="C96" t="s">
        <v>82</v>
      </c>
      <c r="D96" t="s">
        <v>206</v>
      </c>
      <c r="E96">
        <v>30226</v>
      </c>
      <c r="F96" t="s">
        <v>207</v>
      </c>
      <c r="G96">
        <v>1452207</v>
      </c>
      <c r="H96">
        <v>1152191</v>
      </c>
      <c r="I96">
        <v>37122011</v>
      </c>
      <c r="J96">
        <v>426666</v>
      </c>
      <c r="L96" t="s">
        <v>208</v>
      </c>
      <c r="M96" t="s">
        <v>209</v>
      </c>
      <c r="N96" t="s">
        <v>87</v>
      </c>
      <c r="O96" t="s">
        <v>210</v>
      </c>
      <c r="P96" t="s">
        <v>210</v>
      </c>
      <c r="Q96" t="s">
        <v>112</v>
      </c>
      <c r="R96" s="1">
        <v>46358</v>
      </c>
      <c r="T96" s="1">
        <v>46114</v>
      </c>
      <c r="U96">
        <v>13</v>
      </c>
      <c r="V96">
        <v>13</v>
      </c>
      <c r="W96" t="str">
        <f>"13"</f>
        <v>13</v>
      </c>
      <c r="X96" t="s">
        <v>204</v>
      </c>
      <c r="AA96" t="s">
        <v>94</v>
      </c>
      <c r="AB96" t="s">
        <v>95</v>
      </c>
      <c r="AC96" t="s">
        <v>96</v>
      </c>
      <c r="AD96" t="s">
        <v>95</v>
      </c>
      <c r="AE96" t="s">
        <v>95</v>
      </c>
      <c r="AF96" t="s">
        <v>95</v>
      </c>
      <c r="AN96" t="s">
        <v>95</v>
      </c>
      <c r="AQ96" s="1">
        <v>46114</v>
      </c>
      <c r="AS96">
        <v>5838</v>
      </c>
      <c r="AT96" t="s">
        <v>198</v>
      </c>
      <c r="AU96" t="s">
        <v>204</v>
      </c>
      <c r="AV96">
        <v>2423333</v>
      </c>
      <c r="AW96">
        <v>2423333</v>
      </c>
      <c r="AY96">
        <v>0</v>
      </c>
      <c r="AZ96" t="s">
        <v>113</v>
      </c>
      <c r="BB96">
        <v>493999</v>
      </c>
      <c r="BC96" t="s">
        <v>99</v>
      </c>
      <c r="BD96" t="s">
        <v>213</v>
      </c>
      <c r="BE96" t="s">
        <v>141</v>
      </c>
      <c r="BG96" t="s">
        <v>100</v>
      </c>
      <c r="BH96" t="str">
        <f t="shared" si="4"/>
        <v>720804776</v>
      </c>
      <c r="BI96" t="s">
        <v>101</v>
      </c>
      <c r="BJ96" t="s">
        <v>102</v>
      </c>
      <c r="BK96" t="s">
        <v>102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</row>
    <row r="97" spans="1:78">
      <c r="A97" t="s">
        <v>80</v>
      </c>
      <c r="B97" t="s">
        <v>81</v>
      </c>
      <c r="C97" t="s">
        <v>82</v>
      </c>
      <c r="D97" t="s">
        <v>206</v>
      </c>
      <c r="E97">
        <v>30226</v>
      </c>
      <c r="F97" t="s">
        <v>207</v>
      </c>
      <c r="G97">
        <v>1452207</v>
      </c>
      <c r="H97">
        <v>1152191</v>
      </c>
      <c r="I97">
        <v>37122011</v>
      </c>
      <c r="J97">
        <v>426666</v>
      </c>
      <c r="L97" t="s">
        <v>208</v>
      </c>
      <c r="M97" t="s">
        <v>209</v>
      </c>
      <c r="N97" t="s">
        <v>87</v>
      </c>
      <c r="O97" t="s">
        <v>210</v>
      </c>
      <c r="P97" t="s">
        <v>210</v>
      </c>
      <c r="Q97" t="s">
        <v>112</v>
      </c>
      <c r="R97" s="1">
        <v>46358</v>
      </c>
      <c r="T97" s="1">
        <v>46114</v>
      </c>
      <c r="U97">
        <v>14</v>
      </c>
      <c r="V97">
        <v>14</v>
      </c>
      <c r="W97" t="str">
        <f>"14"</f>
        <v>14</v>
      </c>
      <c r="X97" t="s">
        <v>225</v>
      </c>
      <c r="AA97" t="s">
        <v>94</v>
      </c>
      <c r="AB97" t="s">
        <v>95</v>
      </c>
      <c r="AC97" t="s">
        <v>96</v>
      </c>
      <c r="AD97" t="s">
        <v>95</v>
      </c>
      <c r="AE97" t="s">
        <v>95</v>
      </c>
      <c r="AF97" t="s">
        <v>95</v>
      </c>
      <c r="AN97" t="s">
        <v>95</v>
      </c>
      <c r="AQ97" s="1">
        <v>46114</v>
      </c>
      <c r="AS97">
        <v>5803</v>
      </c>
      <c r="AT97" t="s">
        <v>198</v>
      </c>
      <c r="AU97" t="s">
        <v>225</v>
      </c>
      <c r="AV97">
        <v>2423333</v>
      </c>
      <c r="AW97">
        <v>2423333</v>
      </c>
      <c r="AY97">
        <v>0</v>
      </c>
      <c r="AZ97" t="s">
        <v>113</v>
      </c>
      <c r="BB97">
        <v>493999</v>
      </c>
      <c r="BC97" t="s">
        <v>99</v>
      </c>
      <c r="BD97" t="s">
        <v>213</v>
      </c>
      <c r="BE97" t="s">
        <v>141</v>
      </c>
      <c r="BG97" t="s">
        <v>100</v>
      </c>
      <c r="BH97" t="str">
        <f t="shared" si="4"/>
        <v>720804776</v>
      </c>
      <c r="BI97" t="s">
        <v>101</v>
      </c>
      <c r="BJ97" t="s">
        <v>102</v>
      </c>
      <c r="BK97" t="s">
        <v>102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</row>
    <row r="98" spans="1:78">
      <c r="A98" t="s">
        <v>80</v>
      </c>
      <c r="B98" t="s">
        <v>81</v>
      </c>
      <c r="C98" t="s">
        <v>82</v>
      </c>
      <c r="D98" t="s">
        <v>206</v>
      </c>
      <c r="E98">
        <v>30226</v>
      </c>
      <c r="F98" t="s">
        <v>207</v>
      </c>
      <c r="G98">
        <v>1452207</v>
      </c>
      <c r="H98">
        <v>1152191</v>
      </c>
      <c r="I98">
        <v>37122011</v>
      </c>
      <c r="J98">
        <v>426666</v>
      </c>
      <c r="L98" t="s">
        <v>208</v>
      </c>
      <c r="M98" t="s">
        <v>209</v>
      </c>
      <c r="N98" t="s">
        <v>87</v>
      </c>
      <c r="O98" t="s">
        <v>210</v>
      </c>
      <c r="P98" t="s">
        <v>210</v>
      </c>
      <c r="Q98" t="s">
        <v>112</v>
      </c>
      <c r="R98" s="1">
        <v>46358</v>
      </c>
      <c r="T98" s="1">
        <v>46114</v>
      </c>
      <c r="U98">
        <v>15</v>
      </c>
      <c r="V98">
        <v>15</v>
      </c>
      <c r="W98" t="str">
        <f>"15"</f>
        <v>15</v>
      </c>
      <c r="X98" t="s">
        <v>93</v>
      </c>
      <c r="AA98" t="s">
        <v>94</v>
      </c>
      <c r="AB98" t="s">
        <v>95</v>
      </c>
      <c r="AC98" t="s">
        <v>96</v>
      </c>
      <c r="AD98" t="s">
        <v>95</v>
      </c>
      <c r="AE98" t="s">
        <v>95</v>
      </c>
      <c r="AF98" t="s">
        <v>95</v>
      </c>
      <c r="AN98" t="s">
        <v>95</v>
      </c>
      <c r="AQ98" s="1">
        <v>46114</v>
      </c>
      <c r="AS98">
        <v>6101</v>
      </c>
      <c r="AT98" t="s">
        <v>98</v>
      </c>
      <c r="AU98" t="s">
        <v>93</v>
      </c>
      <c r="AV98">
        <v>2423333</v>
      </c>
      <c r="AW98">
        <v>2423333</v>
      </c>
      <c r="AY98">
        <v>0</v>
      </c>
      <c r="AZ98" t="s">
        <v>113</v>
      </c>
      <c r="BB98">
        <v>493999</v>
      </c>
      <c r="BC98" t="s">
        <v>99</v>
      </c>
      <c r="BD98" t="s">
        <v>213</v>
      </c>
      <c r="BE98" t="s">
        <v>141</v>
      </c>
      <c r="BG98" t="s">
        <v>100</v>
      </c>
      <c r="BH98" t="str">
        <f t="shared" si="4"/>
        <v>720804776</v>
      </c>
      <c r="BI98" t="s">
        <v>101</v>
      </c>
      <c r="BJ98" t="s">
        <v>102</v>
      </c>
      <c r="BK98" t="s">
        <v>102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</row>
    <row r="99" spans="1:78">
      <c r="A99" t="s">
        <v>152</v>
      </c>
      <c r="B99" t="s">
        <v>226</v>
      </c>
      <c r="C99" t="s">
        <v>227</v>
      </c>
      <c r="D99" t="s">
        <v>228</v>
      </c>
      <c r="E99">
        <v>6355</v>
      </c>
      <c r="F99" t="s">
        <v>229</v>
      </c>
      <c r="G99">
        <v>1452003</v>
      </c>
      <c r="H99">
        <v>1152090</v>
      </c>
      <c r="I99">
        <v>37100028</v>
      </c>
      <c r="J99">
        <v>426566</v>
      </c>
      <c r="L99" t="s">
        <v>230</v>
      </c>
      <c r="M99" t="s">
        <v>231</v>
      </c>
      <c r="N99" t="s">
        <v>87</v>
      </c>
      <c r="O99" t="s">
        <v>159</v>
      </c>
      <c r="P99" t="s">
        <v>159</v>
      </c>
      <c r="Q99" t="s">
        <v>112</v>
      </c>
      <c r="R99" t="s">
        <v>232</v>
      </c>
      <c r="S99" s="1">
        <v>46358</v>
      </c>
      <c r="T99" s="1">
        <v>46267</v>
      </c>
      <c r="U99">
        <v>7</v>
      </c>
      <c r="V99">
        <v>1</v>
      </c>
      <c r="W99" t="str">
        <f>"2"</f>
        <v>2</v>
      </c>
      <c r="X99" t="s">
        <v>161</v>
      </c>
      <c r="AA99" t="s">
        <v>94</v>
      </c>
      <c r="AB99" t="s">
        <v>95</v>
      </c>
      <c r="AC99" t="s">
        <v>96</v>
      </c>
      <c r="AD99" t="s">
        <v>95</v>
      </c>
      <c r="AE99" t="s">
        <v>95</v>
      </c>
      <c r="AF99" t="s">
        <v>95</v>
      </c>
      <c r="AN99" t="s">
        <v>95</v>
      </c>
      <c r="AQ99" s="1">
        <v>46267</v>
      </c>
      <c r="AS99">
        <v>5000</v>
      </c>
      <c r="AT99" t="s">
        <v>126</v>
      </c>
      <c r="AU99" t="s">
        <v>162</v>
      </c>
      <c r="AV99">
        <v>16395</v>
      </c>
      <c r="AW99">
        <v>16395</v>
      </c>
      <c r="AX99">
        <v>12245</v>
      </c>
      <c r="AY99">
        <v>0</v>
      </c>
      <c r="AZ99" s="1">
        <v>46357</v>
      </c>
      <c r="BB99">
        <v>494265</v>
      </c>
      <c r="BC99" t="s">
        <v>99</v>
      </c>
      <c r="BD99" t="s">
        <v>233</v>
      </c>
      <c r="BE99" t="s">
        <v>160</v>
      </c>
      <c r="BG99" t="s">
        <v>100</v>
      </c>
      <c r="BH99" t="str">
        <f t="shared" ref="BH99:BH130" si="5">"720803940"</f>
        <v>720803940</v>
      </c>
      <c r="BI99" t="s">
        <v>101</v>
      </c>
      <c r="BJ99" t="s">
        <v>102</v>
      </c>
      <c r="BK99" t="s">
        <v>102</v>
      </c>
      <c r="BL99">
        <v>823367021</v>
      </c>
      <c r="BM99">
        <v>276660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823643681</v>
      </c>
      <c r="BT99">
        <v>99.97</v>
      </c>
      <c r="BU99">
        <v>0.03</v>
      </c>
      <c r="BV99">
        <v>0</v>
      </c>
      <c r="BW99">
        <v>0</v>
      </c>
      <c r="BX99">
        <v>0</v>
      </c>
      <c r="BY99">
        <v>0</v>
      </c>
      <c r="BZ99">
        <v>0</v>
      </c>
    </row>
    <row r="100" spans="1:78">
      <c r="A100" t="s">
        <v>152</v>
      </c>
      <c r="B100" t="s">
        <v>226</v>
      </c>
      <c r="C100" t="s">
        <v>227</v>
      </c>
      <c r="D100" t="s">
        <v>228</v>
      </c>
      <c r="E100">
        <v>6355</v>
      </c>
      <c r="F100" t="s">
        <v>229</v>
      </c>
      <c r="G100">
        <v>1452003</v>
      </c>
      <c r="H100">
        <v>1152090</v>
      </c>
      <c r="I100">
        <v>37100028</v>
      </c>
      <c r="J100">
        <v>426566</v>
      </c>
      <c r="L100" t="s">
        <v>230</v>
      </c>
      <c r="M100" t="s">
        <v>231</v>
      </c>
      <c r="N100" t="s">
        <v>87</v>
      </c>
      <c r="O100" t="s">
        <v>159</v>
      </c>
      <c r="P100" t="s">
        <v>159</v>
      </c>
      <c r="Q100" t="s">
        <v>112</v>
      </c>
      <c r="R100" t="s">
        <v>232</v>
      </c>
      <c r="S100" s="1">
        <v>46358</v>
      </c>
      <c r="T100" s="1">
        <v>46267</v>
      </c>
      <c r="U100">
        <v>8</v>
      </c>
      <c r="V100">
        <v>2</v>
      </c>
      <c r="W100" t="str">
        <f>"3.1"</f>
        <v>3.1</v>
      </c>
      <c r="X100" t="s">
        <v>234</v>
      </c>
      <c r="AA100" t="s">
        <v>94</v>
      </c>
      <c r="AB100" t="s">
        <v>95</v>
      </c>
      <c r="AC100" t="s">
        <v>96</v>
      </c>
      <c r="AD100" t="s">
        <v>95</v>
      </c>
      <c r="AE100" t="s">
        <v>95</v>
      </c>
      <c r="AF100" t="s">
        <v>95</v>
      </c>
      <c r="AN100" t="s">
        <v>95</v>
      </c>
      <c r="AQ100" s="1">
        <v>46267</v>
      </c>
      <c r="AS100">
        <v>5720</v>
      </c>
      <c r="AT100" t="s">
        <v>117</v>
      </c>
      <c r="AU100" t="s">
        <v>164</v>
      </c>
      <c r="AV100">
        <v>16395</v>
      </c>
      <c r="AW100">
        <v>16395</v>
      </c>
      <c r="AX100">
        <v>12245</v>
      </c>
      <c r="AY100">
        <v>0</v>
      </c>
      <c r="AZ100" s="1">
        <v>46357</v>
      </c>
      <c r="BB100">
        <v>494265</v>
      </c>
      <c r="BC100" t="s">
        <v>99</v>
      </c>
      <c r="BD100" t="s">
        <v>233</v>
      </c>
      <c r="BE100" t="s">
        <v>160</v>
      </c>
      <c r="BG100" t="s">
        <v>100</v>
      </c>
      <c r="BH100" t="str">
        <f t="shared" si="5"/>
        <v>720803940</v>
      </c>
      <c r="BI100" t="s">
        <v>101</v>
      </c>
      <c r="BJ100" t="s">
        <v>102</v>
      </c>
      <c r="BK100" t="s">
        <v>102</v>
      </c>
      <c r="BL100">
        <v>810630514</v>
      </c>
      <c r="BM100">
        <v>4897821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815528335</v>
      </c>
      <c r="BT100">
        <v>99.4</v>
      </c>
      <c r="BU100">
        <v>0.6</v>
      </c>
      <c r="BV100">
        <v>0</v>
      </c>
      <c r="BW100">
        <v>0</v>
      </c>
      <c r="BX100">
        <v>0</v>
      </c>
      <c r="BY100">
        <v>0</v>
      </c>
      <c r="BZ100">
        <v>0</v>
      </c>
    </row>
    <row r="101" spans="1:78">
      <c r="A101" t="s">
        <v>152</v>
      </c>
      <c r="B101" t="s">
        <v>226</v>
      </c>
      <c r="C101" t="s">
        <v>227</v>
      </c>
      <c r="D101" t="s">
        <v>228</v>
      </c>
      <c r="E101">
        <v>6355</v>
      </c>
      <c r="F101" t="s">
        <v>229</v>
      </c>
      <c r="G101">
        <v>1452003</v>
      </c>
      <c r="H101">
        <v>1152090</v>
      </c>
      <c r="I101">
        <v>37100028</v>
      </c>
      <c r="J101">
        <v>426566</v>
      </c>
      <c r="L101" t="s">
        <v>230</v>
      </c>
      <c r="M101" t="s">
        <v>231</v>
      </c>
      <c r="N101" t="s">
        <v>87</v>
      </c>
      <c r="O101" t="s">
        <v>159</v>
      </c>
      <c r="P101" t="s">
        <v>159</v>
      </c>
      <c r="Q101" t="s">
        <v>112</v>
      </c>
      <c r="R101" t="s">
        <v>232</v>
      </c>
      <c r="S101" s="1">
        <v>46358</v>
      </c>
      <c r="T101" s="1">
        <v>46267</v>
      </c>
      <c r="U101">
        <v>9</v>
      </c>
      <c r="V101">
        <v>3</v>
      </c>
      <c r="W101" t="str">
        <f>"3.2"</f>
        <v>3.2</v>
      </c>
      <c r="X101" t="s">
        <v>235</v>
      </c>
      <c r="AA101" t="s">
        <v>94</v>
      </c>
      <c r="AB101" t="s">
        <v>95</v>
      </c>
      <c r="AC101" t="s">
        <v>96</v>
      </c>
      <c r="AD101" t="s">
        <v>95</v>
      </c>
      <c r="AE101" t="s">
        <v>95</v>
      </c>
      <c r="AF101" t="s">
        <v>95</v>
      </c>
      <c r="AN101" t="s">
        <v>95</v>
      </c>
      <c r="AQ101" s="1">
        <v>46267</v>
      </c>
      <c r="AS101">
        <v>5720</v>
      </c>
      <c r="AT101" t="s">
        <v>117</v>
      </c>
      <c r="AU101" t="s">
        <v>164</v>
      </c>
      <c r="AV101">
        <v>16395</v>
      </c>
      <c r="AW101">
        <v>16395</v>
      </c>
      <c r="AX101">
        <v>12245</v>
      </c>
      <c r="AY101">
        <v>0</v>
      </c>
      <c r="AZ101" s="1">
        <v>46357</v>
      </c>
      <c r="BB101">
        <v>494265</v>
      </c>
      <c r="BC101" t="s">
        <v>99</v>
      </c>
      <c r="BD101" t="s">
        <v>233</v>
      </c>
      <c r="BE101" t="s">
        <v>160</v>
      </c>
      <c r="BG101" t="s">
        <v>100</v>
      </c>
      <c r="BH101" t="str">
        <f t="shared" si="5"/>
        <v>720803940</v>
      </c>
      <c r="BI101" t="s">
        <v>101</v>
      </c>
      <c r="BJ101" t="s">
        <v>102</v>
      </c>
      <c r="BK101" t="s">
        <v>102</v>
      </c>
      <c r="BL101">
        <v>811179419</v>
      </c>
      <c r="BM101">
        <v>4340007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815519426</v>
      </c>
      <c r="BT101">
        <v>99.47</v>
      </c>
      <c r="BU101">
        <v>0.53</v>
      </c>
      <c r="BV101">
        <v>0</v>
      </c>
      <c r="BW101">
        <v>0</v>
      </c>
      <c r="BX101">
        <v>0</v>
      </c>
      <c r="BY101">
        <v>0</v>
      </c>
      <c r="BZ101">
        <v>0</v>
      </c>
    </row>
    <row r="102" spans="1:78">
      <c r="A102" t="s">
        <v>152</v>
      </c>
      <c r="B102" t="s">
        <v>226</v>
      </c>
      <c r="C102" t="s">
        <v>227</v>
      </c>
      <c r="D102" t="s">
        <v>228</v>
      </c>
      <c r="E102">
        <v>6355</v>
      </c>
      <c r="F102" t="s">
        <v>229</v>
      </c>
      <c r="G102">
        <v>1452003</v>
      </c>
      <c r="H102">
        <v>1152090</v>
      </c>
      <c r="I102">
        <v>37100028</v>
      </c>
      <c r="J102">
        <v>426566</v>
      </c>
      <c r="L102" t="s">
        <v>230</v>
      </c>
      <c r="M102" t="s">
        <v>231</v>
      </c>
      <c r="N102" t="s">
        <v>87</v>
      </c>
      <c r="O102" t="s">
        <v>159</v>
      </c>
      <c r="P102" t="s">
        <v>159</v>
      </c>
      <c r="Q102" t="s">
        <v>112</v>
      </c>
      <c r="R102" t="s">
        <v>232</v>
      </c>
      <c r="S102" s="1">
        <v>46358</v>
      </c>
      <c r="T102" s="1">
        <v>46267</v>
      </c>
      <c r="U102">
        <v>10</v>
      </c>
      <c r="V102">
        <v>4</v>
      </c>
      <c r="W102" t="str">
        <f>"3.3"</f>
        <v>3.3</v>
      </c>
      <c r="X102" t="s">
        <v>236</v>
      </c>
      <c r="AA102" t="s">
        <v>94</v>
      </c>
      <c r="AB102" t="s">
        <v>95</v>
      </c>
      <c r="AC102" t="s">
        <v>96</v>
      </c>
      <c r="AD102" t="s">
        <v>95</v>
      </c>
      <c r="AE102" t="s">
        <v>95</v>
      </c>
      <c r="AF102" t="s">
        <v>95</v>
      </c>
      <c r="AN102" t="s">
        <v>95</v>
      </c>
      <c r="AQ102" s="1">
        <v>46267</v>
      </c>
      <c r="AS102">
        <v>5720</v>
      </c>
      <c r="AT102" t="s">
        <v>117</v>
      </c>
      <c r="AU102" t="s">
        <v>164</v>
      </c>
      <c r="AV102">
        <v>16395</v>
      </c>
      <c r="AW102">
        <v>16395</v>
      </c>
      <c r="AX102">
        <v>12245</v>
      </c>
      <c r="AY102">
        <v>0</v>
      </c>
      <c r="AZ102" s="1">
        <v>46357</v>
      </c>
      <c r="BB102">
        <v>494265</v>
      </c>
      <c r="BC102" t="s">
        <v>99</v>
      </c>
      <c r="BD102" t="s">
        <v>233</v>
      </c>
      <c r="BE102" t="s">
        <v>160</v>
      </c>
      <c r="BG102" t="s">
        <v>100</v>
      </c>
      <c r="BH102" t="str">
        <f t="shared" si="5"/>
        <v>720803940</v>
      </c>
      <c r="BI102" t="s">
        <v>101</v>
      </c>
      <c r="BJ102" t="s">
        <v>102</v>
      </c>
      <c r="BK102" t="s">
        <v>102</v>
      </c>
      <c r="BL102">
        <v>811217281</v>
      </c>
      <c r="BM102">
        <v>4313948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815531229</v>
      </c>
      <c r="BT102">
        <v>99.47</v>
      </c>
      <c r="BU102">
        <v>0.53</v>
      </c>
      <c r="BV102">
        <v>0</v>
      </c>
      <c r="BW102">
        <v>0</v>
      </c>
      <c r="BX102">
        <v>0</v>
      </c>
      <c r="BY102">
        <v>0</v>
      </c>
      <c r="BZ102">
        <v>0</v>
      </c>
    </row>
    <row r="103" spans="1:78">
      <c r="A103" t="s">
        <v>152</v>
      </c>
      <c r="B103" t="s">
        <v>226</v>
      </c>
      <c r="C103" t="s">
        <v>227</v>
      </c>
      <c r="D103" t="s">
        <v>228</v>
      </c>
      <c r="E103">
        <v>6355</v>
      </c>
      <c r="F103" t="s">
        <v>229</v>
      </c>
      <c r="G103">
        <v>1452003</v>
      </c>
      <c r="H103">
        <v>1152090</v>
      </c>
      <c r="I103">
        <v>37100028</v>
      </c>
      <c r="J103">
        <v>426566</v>
      </c>
      <c r="L103" t="s">
        <v>230</v>
      </c>
      <c r="M103" t="s">
        <v>231</v>
      </c>
      <c r="N103" t="s">
        <v>87</v>
      </c>
      <c r="O103" t="s">
        <v>159</v>
      </c>
      <c r="P103" t="s">
        <v>159</v>
      </c>
      <c r="Q103" t="s">
        <v>112</v>
      </c>
      <c r="R103" t="s">
        <v>232</v>
      </c>
      <c r="S103" s="1">
        <v>46358</v>
      </c>
      <c r="T103" s="1">
        <v>46267</v>
      </c>
      <c r="U103">
        <v>11</v>
      </c>
      <c r="V103">
        <v>5</v>
      </c>
      <c r="W103" t="str">
        <f>"3.4"</f>
        <v>3.4</v>
      </c>
      <c r="X103" t="s">
        <v>237</v>
      </c>
      <c r="AA103" t="s">
        <v>94</v>
      </c>
      <c r="AB103" t="s">
        <v>95</v>
      </c>
      <c r="AC103" t="s">
        <v>96</v>
      </c>
      <c r="AD103" t="s">
        <v>95</v>
      </c>
      <c r="AE103" t="s">
        <v>95</v>
      </c>
      <c r="AF103" t="s">
        <v>95</v>
      </c>
      <c r="AN103" t="s">
        <v>95</v>
      </c>
      <c r="AQ103" s="1">
        <v>46267</v>
      </c>
      <c r="AS103">
        <v>5720</v>
      </c>
      <c r="AT103" t="s">
        <v>117</v>
      </c>
      <c r="AU103" t="s">
        <v>164</v>
      </c>
      <c r="AV103">
        <v>16395</v>
      </c>
      <c r="AW103">
        <v>16395</v>
      </c>
      <c r="AX103">
        <v>12245</v>
      </c>
      <c r="AY103">
        <v>0</v>
      </c>
      <c r="AZ103" s="1">
        <v>46357</v>
      </c>
      <c r="BB103">
        <v>494265</v>
      </c>
      <c r="BC103" t="s">
        <v>99</v>
      </c>
      <c r="BD103" t="s">
        <v>233</v>
      </c>
      <c r="BE103" t="s">
        <v>160</v>
      </c>
      <c r="BG103" t="s">
        <v>100</v>
      </c>
      <c r="BH103" t="str">
        <f t="shared" si="5"/>
        <v>720803940</v>
      </c>
      <c r="BI103" t="s">
        <v>101</v>
      </c>
      <c r="BJ103" t="s">
        <v>102</v>
      </c>
      <c r="BK103" t="s">
        <v>102</v>
      </c>
      <c r="BL103">
        <v>811200022</v>
      </c>
      <c r="BM103">
        <v>4326933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815526955</v>
      </c>
      <c r="BT103">
        <v>99.47</v>
      </c>
      <c r="BU103">
        <v>0.53</v>
      </c>
      <c r="BV103">
        <v>0</v>
      </c>
      <c r="BW103">
        <v>0</v>
      </c>
      <c r="BX103">
        <v>0</v>
      </c>
      <c r="BY103">
        <v>0</v>
      </c>
      <c r="BZ103">
        <v>0</v>
      </c>
    </row>
    <row r="104" spans="1:78">
      <c r="A104" t="s">
        <v>152</v>
      </c>
      <c r="B104" t="s">
        <v>226</v>
      </c>
      <c r="C104" t="s">
        <v>227</v>
      </c>
      <c r="D104" t="s">
        <v>228</v>
      </c>
      <c r="E104">
        <v>6355</v>
      </c>
      <c r="F104" t="s">
        <v>229</v>
      </c>
      <c r="G104">
        <v>1452003</v>
      </c>
      <c r="H104">
        <v>1152090</v>
      </c>
      <c r="I104">
        <v>37100028</v>
      </c>
      <c r="J104">
        <v>426566</v>
      </c>
      <c r="L104" t="s">
        <v>230</v>
      </c>
      <c r="M104" t="s">
        <v>231</v>
      </c>
      <c r="N104" t="s">
        <v>87</v>
      </c>
      <c r="O104" t="s">
        <v>159</v>
      </c>
      <c r="P104" t="s">
        <v>159</v>
      </c>
      <c r="Q104" t="s">
        <v>112</v>
      </c>
      <c r="R104" t="s">
        <v>232</v>
      </c>
      <c r="S104" s="1">
        <v>46358</v>
      </c>
      <c r="T104" s="1">
        <v>46267</v>
      </c>
      <c r="U104">
        <v>12</v>
      </c>
      <c r="V104">
        <v>6</v>
      </c>
      <c r="W104" t="str">
        <f>"3.5"</f>
        <v>3.5</v>
      </c>
      <c r="X104" t="s">
        <v>238</v>
      </c>
      <c r="AA104" t="s">
        <v>94</v>
      </c>
      <c r="AB104" t="s">
        <v>95</v>
      </c>
      <c r="AC104" t="s">
        <v>96</v>
      </c>
      <c r="AD104" t="s">
        <v>95</v>
      </c>
      <c r="AE104" t="s">
        <v>95</v>
      </c>
      <c r="AF104" t="s">
        <v>95</v>
      </c>
      <c r="AN104" t="s">
        <v>95</v>
      </c>
      <c r="AQ104" s="1">
        <v>46267</v>
      </c>
      <c r="AS104">
        <v>5720</v>
      </c>
      <c r="AT104" t="s">
        <v>117</v>
      </c>
      <c r="AU104" t="s">
        <v>164</v>
      </c>
      <c r="AV104">
        <v>16395</v>
      </c>
      <c r="AW104">
        <v>16395</v>
      </c>
      <c r="AX104">
        <v>12245</v>
      </c>
      <c r="AY104">
        <v>0</v>
      </c>
      <c r="AZ104" s="1">
        <v>46357</v>
      </c>
      <c r="BB104">
        <v>494265</v>
      </c>
      <c r="BC104" t="s">
        <v>99</v>
      </c>
      <c r="BD104" t="s">
        <v>233</v>
      </c>
      <c r="BE104" t="s">
        <v>160</v>
      </c>
      <c r="BG104" t="s">
        <v>100</v>
      </c>
      <c r="BH104" t="str">
        <f t="shared" si="5"/>
        <v>720803940</v>
      </c>
      <c r="BI104" t="s">
        <v>101</v>
      </c>
      <c r="BJ104" t="s">
        <v>102</v>
      </c>
      <c r="BK104" t="s">
        <v>102</v>
      </c>
      <c r="BL104">
        <v>811197608</v>
      </c>
      <c r="BM104">
        <v>4326631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815524239</v>
      </c>
      <c r="BT104">
        <v>99.47</v>
      </c>
      <c r="BU104">
        <v>0.53</v>
      </c>
      <c r="BV104">
        <v>0</v>
      </c>
      <c r="BW104">
        <v>0</v>
      </c>
      <c r="BX104">
        <v>0</v>
      </c>
      <c r="BY104">
        <v>0</v>
      </c>
      <c r="BZ104">
        <v>0</v>
      </c>
    </row>
    <row r="105" spans="1:78">
      <c r="A105" t="s">
        <v>152</v>
      </c>
      <c r="B105" t="s">
        <v>226</v>
      </c>
      <c r="C105" t="s">
        <v>227</v>
      </c>
      <c r="D105" t="s">
        <v>228</v>
      </c>
      <c r="E105">
        <v>6355</v>
      </c>
      <c r="F105" t="s">
        <v>229</v>
      </c>
      <c r="G105">
        <v>1452003</v>
      </c>
      <c r="H105">
        <v>1152090</v>
      </c>
      <c r="I105">
        <v>37100028</v>
      </c>
      <c r="J105">
        <v>426566</v>
      </c>
      <c r="L105" t="s">
        <v>230</v>
      </c>
      <c r="M105" t="s">
        <v>231</v>
      </c>
      <c r="N105" t="s">
        <v>87</v>
      </c>
      <c r="O105" t="s">
        <v>159</v>
      </c>
      <c r="P105" t="s">
        <v>159</v>
      </c>
      <c r="Q105" t="s">
        <v>112</v>
      </c>
      <c r="R105" t="s">
        <v>232</v>
      </c>
      <c r="S105" s="1">
        <v>46358</v>
      </c>
      <c r="T105" s="1">
        <v>46267</v>
      </c>
      <c r="U105">
        <v>13</v>
      </c>
      <c r="V105">
        <v>7</v>
      </c>
      <c r="W105" t="str">
        <f>"4.1"</f>
        <v>4.1</v>
      </c>
      <c r="X105" t="s">
        <v>239</v>
      </c>
      <c r="AA105" t="s">
        <v>94</v>
      </c>
      <c r="AB105" t="s">
        <v>95</v>
      </c>
      <c r="AC105" t="s">
        <v>96</v>
      </c>
      <c r="AD105" t="s">
        <v>95</v>
      </c>
      <c r="AE105" t="s">
        <v>95</v>
      </c>
      <c r="AF105" t="s">
        <v>123</v>
      </c>
      <c r="AN105" t="s">
        <v>123</v>
      </c>
      <c r="AO105" t="str">
        <f>"Herbert Diess serves as the Chair of the Nominations Committee, and the Company allows director elections every 3–4 years. We believe this should be at least every 2 years, ideally annually. "</f>
        <v xml:space="preserve">Herbert Diess serves as the Chair of the Nominations Committee, and the Company allows director elections every 3–4 years. We believe this should be at least every 2 years, ideally annually. </v>
      </c>
      <c r="AQ105" s="1">
        <v>46267</v>
      </c>
      <c r="AS105">
        <v>5700</v>
      </c>
      <c r="AT105" t="s">
        <v>117</v>
      </c>
      <c r="AU105" t="s">
        <v>169</v>
      </c>
      <c r="AV105">
        <v>16395</v>
      </c>
      <c r="AW105">
        <v>16395</v>
      </c>
      <c r="AX105">
        <v>12245</v>
      </c>
      <c r="AY105">
        <v>0</v>
      </c>
      <c r="AZ105" s="1">
        <v>46357</v>
      </c>
      <c r="BB105">
        <v>494265</v>
      </c>
      <c r="BC105" t="s">
        <v>99</v>
      </c>
      <c r="BD105" t="s">
        <v>233</v>
      </c>
      <c r="BE105" t="s">
        <v>160</v>
      </c>
      <c r="BG105" t="s">
        <v>100</v>
      </c>
      <c r="BH105" t="str">
        <f t="shared" si="5"/>
        <v>720803940</v>
      </c>
      <c r="BI105" t="s">
        <v>101</v>
      </c>
      <c r="BJ105" t="s">
        <v>123</v>
      </c>
      <c r="BK105" t="s">
        <v>123</v>
      </c>
      <c r="BL105">
        <v>806127384</v>
      </c>
      <c r="BM105">
        <v>5467528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811594912</v>
      </c>
      <c r="BT105">
        <v>99.33</v>
      </c>
      <c r="BU105">
        <v>0.67</v>
      </c>
      <c r="BV105">
        <v>0</v>
      </c>
      <c r="BW105">
        <v>0</v>
      </c>
      <c r="BX105">
        <v>0</v>
      </c>
      <c r="BY105">
        <v>0</v>
      </c>
      <c r="BZ105">
        <v>0</v>
      </c>
    </row>
    <row r="106" spans="1:78">
      <c r="A106" t="s">
        <v>152</v>
      </c>
      <c r="B106" t="s">
        <v>226</v>
      </c>
      <c r="C106" t="s">
        <v>227</v>
      </c>
      <c r="D106" t="s">
        <v>228</v>
      </c>
      <c r="E106">
        <v>6355</v>
      </c>
      <c r="F106" t="s">
        <v>229</v>
      </c>
      <c r="G106">
        <v>1452003</v>
      </c>
      <c r="H106">
        <v>1152090</v>
      </c>
      <c r="I106">
        <v>37100028</v>
      </c>
      <c r="J106">
        <v>426566</v>
      </c>
      <c r="L106" t="s">
        <v>230</v>
      </c>
      <c r="M106" t="s">
        <v>231</v>
      </c>
      <c r="N106" t="s">
        <v>87</v>
      </c>
      <c r="O106" t="s">
        <v>159</v>
      </c>
      <c r="P106" t="s">
        <v>159</v>
      </c>
      <c r="Q106" t="s">
        <v>112</v>
      </c>
      <c r="R106" t="s">
        <v>232</v>
      </c>
      <c r="S106" s="1">
        <v>46358</v>
      </c>
      <c r="T106" s="1">
        <v>46267</v>
      </c>
      <c r="U106">
        <v>14</v>
      </c>
      <c r="V106">
        <v>8</v>
      </c>
      <c r="W106" t="str">
        <f>"4.2"</f>
        <v>4.2</v>
      </c>
      <c r="X106" t="s">
        <v>240</v>
      </c>
      <c r="AA106" t="s">
        <v>94</v>
      </c>
      <c r="AB106" t="s">
        <v>95</v>
      </c>
      <c r="AC106" t="s">
        <v>96</v>
      </c>
      <c r="AD106" t="s">
        <v>95</v>
      </c>
      <c r="AE106" t="s">
        <v>95</v>
      </c>
      <c r="AF106" t="s">
        <v>95</v>
      </c>
      <c r="AN106" t="s">
        <v>95</v>
      </c>
      <c r="AQ106" s="1">
        <v>46267</v>
      </c>
      <c r="AS106">
        <v>5700</v>
      </c>
      <c r="AT106" t="s">
        <v>117</v>
      </c>
      <c r="AU106" t="s">
        <v>169</v>
      </c>
      <c r="AV106">
        <v>16395</v>
      </c>
      <c r="AW106">
        <v>16395</v>
      </c>
      <c r="AX106">
        <v>12245</v>
      </c>
      <c r="AY106">
        <v>0</v>
      </c>
      <c r="AZ106" s="1">
        <v>46357</v>
      </c>
      <c r="BB106">
        <v>494265</v>
      </c>
      <c r="BC106" t="s">
        <v>99</v>
      </c>
      <c r="BD106" t="s">
        <v>233</v>
      </c>
      <c r="BE106" t="s">
        <v>160</v>
      </c>
      <c r="BG106" t="s">
        <v>100</v>
      </c>
      <c r="BH106" t="str">
        <f t="shared" si="5"/>
        <v>720803940</v>
      </c>
      <c r="BI106" t="s">
        <v>101</v>
      </c>
      <c r="BJ106" t="s">
        <v>102</v>
      </c>
      <c r="BK106" t="s">
        <v>102</v>
      </c>
      <c r="BL106">
        <v>811099989</v>
      </c>
      <c r="BM106">
        <v>4375879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815475868</v>
      </c>
      <c r="BT106">
        <v>99.46</v>
      </c>
      <c r="BU106">
        <v>0.54</v>
      </c>
      <c r="BV106">
        <v>0</v>
      </c>
      <c r="BW106">
        <v>0</v>
      </c>
      <c r="BX106">
        <v>0</v>
      </c>
      <c r="BY106">
        <v>0</v>
      </c>
      <c r="BZ106">
        <v>0</v>
      </c>
    </row>
    <row r="107" spans="1:78">
      <c r="A107" t="s">
        <v>152</v>
      </c>
      <c r="B107" t="s">
        <v>226</v>
      </c>
      <c r="C107" t="s">
        <v>227</v>
      </c>
      <c r="D107" t="s">
        <v>228</v>
      </c>
      <c r="E107">
        <v>6355</v>
      </c>
      <c r="F107" t="s">
        <v>229</v>
      </c>
      <c r="G107">
        <v>1452003</v>
      </c>
      <c r="H107">
        <v>1152090</v>
      </c>
      <c r="I107">
        <v>37100028</v>
      </c>
      <c r="J107">
        <v>426566</v>
      </c>
      <c r="L107" t="s">
        <v>230</v>
      </c>
      <c r="M107" t="s">
        <v>231</v>
      </c>
      <c r="N107" t="s">
        <v>87</v>
      </c>
      <c r="O107" t="s">
        <v>159</v>
      </c>
      <c r="P107" t="s">
        <v>159</v>
      </c>
      <c r="Q107" t="s">
        <v>112</v>
      </c>
      <c r="R107" t="s">
        <v>232</v>
      </c>
      <c r="S107" s="1">
        <v>46358</v>
      </c>
      <c r="T107" s="1">
        <v>46267</v>
      </c>
      <c r="U107">
        <v>15</v>
      </c>
      <c r="V107">
        <v>9</v>
      </c>
      <c r="W107" t="str">
        <f>"4.3"</f>
        <v>4.3</v>
      </c>
      <c r="X107" t="s">
        <v>241</v>
      </c>
      <c r="AA107" t="s">
        <v>94</v>
      </c>
      <c r="AB107" t="s">
        <v>95</v>
      </c>
      <c r="AC107" t="s">
        <v>96</v>
      </c>
      <c r="AD107" t="s">
        <v>95</v>
      </c>
      <c r="AE107" t="s">
        <v>95</v>
      </c>
      <c r="AF107" t="s">
        <v>95</v>
      </c>
      <c r="AN107" t="s">
        <v>95</v>
      </c>
      <c r="AQ107" s="1">
        <v>46267</v>
      </c>
      <c r="AS107">
        <v>5700</v>
      </c>
      <c r="AT107" t="s">
        <v>117</v>
      </c>
      <c r="AU107" t="s">
        <v>169</v>
      </c>
      <c r="AV107">
        <v>16395</v>
      </c>
      <c r="AW107">
        <v>16395</v>
      </c>
      <c r="AX107">
        <v>12245</v>
      </c>
      <c r="AY107">
        <v>0</v>
      </c>
      <c r="AZ107" s="1">
        <v>46357</v>
      </c>
      <c r="BB107">
        <v>494265</v>
      </c>
      <c r="BC107" t="s">
        <v>99</v>
      </c>
      <c r="BD107" t="s">
        <v>233</v>
      </c>
      <c r="BE107" t="s">
        <v>160</v>
      </c>
      <c r="BG107" t="s">
        <v>100</v>
      </c>
      <c r="BH107" t="str">
        <f t="shared" si="5"/>
        <v>720803940</v>
      </c>
      <c r="BI107" t="s">
        <v>101</v>
      </c>
      <c r="BJ107" t="s">
        <v>102</v>
      </c>
      <c r="BK107" t="s">
        <v>102</v>
      </c>
      <c r="BL107">
        <v>811174522</v>
      </c>
      <c r="BM107">
        <v>4322464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815496986</v>
      </c>
      <c r="BT107">
        <v>99.47</v>
      </c>
      <c r="BU107">
        <v>0.53</v>
      </c>
      <c r="BV107">
        <v>0</v>
      </c>
      <c r="BW107">
        <v>0</v>
      </c>
      <c r="BX107">
        <v>0</v>
      </c>
      <c r="BY107">
        <v>0</v>
      </c>
      <c r="BZ107">
        <v>0</v>
      </c>
    </row>
    <row r="108" spans="1:78">
      <c r="A108" t="s">
        <v>152</v>
      </c>
      <c r="B108" t="s">
        <v>226</v>
      </c>
      <c r="C108" t="s">
        <v>227</v>
      </c>
      <c r="D108" t="s">
        <v>228</v>
      </c>
      <c r="E108">
        <v>6355</v>
      </c>
      <c r="F108" t="s">
        <v>229</v>
      </c>
      <c r="G108">
        <v>1452003</v>
      </c>
      <c r="H108">
        <v>1152090</v>
      </c>
      <c r="I108">
        <v>37100028</v>
      </c>
      <c r="J108">
        <v>426566</v>
      </c>
      <c r="L108" t="s">
        <v>230</v>
      </c>
      <c r="M108" t="s">
        <v>231</v>
      </c>
      <c r="N108" t="s">
        <v>87</v>
      </c>
      <c r="O108" t="s">
        <v>159</v>
      </c>
      <c r="P108" t="s">
        <v>159</v>
      </c>
      <c r="Q108" t="s">
        <v>112</v>
      </c>
      <c r="R108" t="s">
        <v>232</v>
      </c>
      <c r="S108" s="1">
        <v>46358</v>
      </c>
      <c r="T108" s="1">
        <v>46267</v>
      </c>
      <c r="U108">
        <v>16</v>
      </c>
      <c r="V108">
        <v>10</v>
      </c>
      <c r="W108" t="str">
        <f>"4.4"</f>
        <v>4.4</v>
      </c>
      <c r="X108" t="s">
        <v>242</v>
      </c>
      <c r="AA108" t="s">
        <v>94</v>
      </c>
      <c r="AB108" t="s">
        <v>95</v>
      </c>
      <c r="AC108" t="s">
        <v>96</v>
      </c>
      <c r="AD108" t="s">
        <v>95</v>
      </c>
      <c r="AE108" t="s">
        <v>95</v>
      </c>
      <c r="AF108" t="s">
        <v>95</v>
      </c>
      <c r="AN108" t="s">
        <v>95</v>
      </c>
      <c r="AQ108" s="1">
        <v>46267</v>
      </c>
      <c r="AS108">
        <v>5700</v>
      </c>
      <c r="AT108" t="s">
        <v>117</v>
      </c>
      <c r="AU108" t="s">
        <v>169</v>
      </c>
      <c r="AV108">
        <v>16395</v>
      </c>
      <c r="AW108">
        <v>16395</v>
      </c>
      <c r="AX108">
        <v>12245</v>
      </c>
      <c r="AY108">
        <v>0</v>
      </c>
      <c r="AZ108" s="1">
        <v>46357</v>
      </c>
      <c r="BB108">
        <v>494265</v>
      </c>
      <c r="BC108" t="s">
        <v>99</v>
      </c>
      <c r="BD108" t="s">
        <v>233</v>
      </c>
      <c r="BE108" t="s">
        <v>160</v>
      </c>
      <c r="BG108" t="s">
        <v>100</v>
      </c>
      <c r="BH108" t="str">
        <f t="shared" si="5"/>
        <v>720803940</v>
      </c>
      <c r="BI108" t="s">
        <v>101</v>
      </c>
      <c r="BJ108" t="s">
        <v>102</v>
      </c>
      <c r="BK108" t="s">
        <v>102</v>
      </c>
      <c r="BL108">
        <v>807350500</v>
      </c>
      <c r="BM108">
        <v>4558283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811908783</v>
      </c>
      <c r="BT108">
        <v>99.44</v>
      </c>
      <c r="BU108">
        <v>0.56000000000000005</v>
      </c>
      <c r="BV108">
        <v>0</v>
      </c>
      <c r="BW108">
        <v>0</v>
      </c>
      <c r="BX108">
        <v>0</v>
      </c>
      <c r="BY108">
        <v>0</v>
      </c>
      <c r="BZ108">
        <v>0</v>
      </c>
    </row>
    <row r="109" spans="1:78">
      <c r="A109" t="s">
        <v>152</v>
      </c>
      <c r="B109" t="s">
        <v>226</v>
      </c>
      <c r="C109" t="s">
        <v>227</v>
      </c>
      <c r="D109" t="s">
        <v>228</v>
      </c>
      <c r="E109">
        <v>6355</v>
      </c>
      <c r="F109" t="s">
        <v>229</v>
      </c>
      <c r="G109">
        <v>1452003</v>
      </c>
      <c r="H109">
        <v>1152090</v>
      </c>
      <c r="I109">
        <v>37100028</v>
      </c>
      <c r="J109">
        <v>426566</v>
      </c>
      <c r="L109" t="s">
        <v>230</v>
      </c>
      <c r="M109" t="s">
        <v>231</v>
      </c>
      <c r="N109" t="s">
        <v>87</v>
      </c>
      <c r="O109" t="s">
        <v>159</v>
      </c>
      <c r="P109" t="s">
        <v>159</v>
      </c>
      <c r="Q109" t="s">
        <v>112</v>
      </c>
      <c r="R109" t="s">
        <v>232</v>
      </c>
      <c r="S109" s="1">
        <v>46358</v>
      </c>
      <c r="T109" s="1">
        <v>46267</v>
      </c>
      <c r="U109">
        <v>17</v>
      </c>
      <c r="V109">
        <v>11</v>
      </c>
      <c r="W109" t="str">
        <f>"4.5"</f>
        <v>4.5</v>
      </c>
      <c r="X109" t="s">
        <v>243</v>
      </c>
      <c r="AA109" t="s">
        <v>94</v>
      </c>
      <c r="AB109" t="s">
        <v>95</v>
      </c>
      <c r="AC109" t="s">
        <v>96</v>
      </c>
      <c r="AD109" t="s">
        <v>95</v>
      </c>
      <c r="AE109" t="s">
        <v>95</v>
      </c>
      <c r="AF109" t="s">
        <v>95</v>
      </c>
      <c r="AN109" t="s">
        <v>95</v>
      </c>
      <c r="AQ109" s="1">
        <v>46267</v>
      </c>
      <c r="AS109">
        <v>5700</v>
      </c>
      <c r="AT109" t="s">
        <v>117</v>
      </c>
      <c r="AU109" t="s">
        <v>169</v>
      </c>
      <c r="AV109">
        <v>16395</v>
      </c>
      <c r="AW109">
        <v>16395</v>
      </c>
      <c r="AX109">
        <v>12245</v>
      </c>
      <c r="AY109">
        <v>0</v>
      </c>
      <c r="AZ109" s="1">
        <v>46357</v>
      </c>
      <c r="BB109">
        <v>494265</v>
      </c>
      <c r="BC109" t="s">
        <v>99</v>
      </c>
      <c r="BD109" t="s">
        <v>233</v>
      </c>
      <c r="BE109" t="s">
        <v>160</v>
      </c>
      <c r="BG109" t="s">
        <v>100</v>
      </c>
      <c r="BH109" t="str">
        <f t="shared" si="5"/>
        <v>720803940</v>
      </c>
      <c r="BI109" t="s">
        <v>101</v>
      </c>
      <c r="BJ109" t="s">
        <v>102</v>
      </c>
      <c r="BK109" t="s">
        <v>102</v>
      </c>
      <c r="BL109">
        <v>811154089</v>
      </c>
      <c r="BM109">
        <v>4334497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815488586</v>
      </c>
      <c r="BT109">
        <v>99.47</v>
      </c>
      <c r="BU109">
        <v>0.53</v>
      </c>
      <c r="BV109">
        <v>0</v>
      </c>
      <c r="BW109">
        <v>0</v>
      </c>
      <c r="BX109">
        <v>0</v>
      </c>
      <c r="BY109">
        <v>0</v>
      </c>
      <c r="BZ109">
        <v>0</v>
      </c>
    </row>
    <row r="110" spans="1:78">
      <c r="A110" t="s">
        <v>152</v>
      </c>
      <c r="B110" t="s">
        <v>226</v>
      </c>
      <c r="C110" t="s">
        <v>227</v>
      </c>
      <c r="D110" t="s">
        <v>228</v>
      </c>
      <c r="E110">
        <v>6355</v>
      </c>
      <c r="F110" t="s">
        <v>229</v>
      </c>
      <c r="G110">
        <v>1452003</v>
      </c>
      <c r="H110">
        <v>1152090</v>
      </c>
      <c r="I110">
        <v>37100028</v>
      </c>
      <c r="J110">
        <v>426566</v>
      </c>
      <c r="L110" t="s">
        <v>230</v>
      </c>
      <c r="M110" t="s">
        <v>231</v>
      </c>
      <c r="N110" t="s">
        <v>87</v>
      </c>
      <c r="O110" t="s">
        <v>159</v>
      </c>
      <c r="P110" t="s">
        <v>159</v>
      </c>
      <c r="Q110" t="s">
        <v>112</v>
      </c>
      <c r="R110" t="s">
        <v>232</v>
      </c>
      <c r="S110" s="1">
        <v>46358</v>
      </c>
      <c r="T110" s="1">
        <v>46267</v>
      </c>
      <c r="U110">
        <v>18</v>
      </c>
      <c r="V110">
        <v>12</v>
      </c>
      <c r="W110" t="str">
        <f>"4.6"</f>
        <v>4.6</v>
      </c>
      <c r="X110" t="s">
        <v>244</v>
      </c>
      <c r="AA110" t="s">
        <v>94</v>
      </c>
      <c r="AB110" t="s">
        <v>95</v>
      </c>
      <c r="AC110" t="s">
        <v>96</v>
      </c>
      <c r="AD110" t="s">
        <v>95</v>
      </c>
      <c r="AE110" t="s">
        <v>95</v>
      </c>
      <c r="AF110" t="s">
        <v>95</v>
      </c>
      <c r="AN110" t="s">
        <v>95</v>
      </c>
      <c r="AQ110" s="1">
        <v>46267</v>
      </c>
      <c r="AS110">
        <v>5700</v>
      </c>
      <c r="AT110" t="s">
        <v>117</v>
      </c>
      <c r="AU110" t="s">
        <v>169</v>
      </c>
      <c r="AV110">
        <v>16395</v>
      </c>
      <c r="AW110">
        <v>16395</v>
      </c>
      <c r="AX110">
        <v>12245</v>
      </c>
      <c r="AY110">
        <v>0</v>
      </c>
      <c r="AZ110" s="1">
        <v>46357</v>
      </c>
      <c r="BB110">
        <v>494265</v>
      </c>
      <c r="BC110" t="s">
        <v>99</v>
      </c>
      <c r="BD110" t="s">
        <v>233</v>
      </c>
      <c r="BE110" t="s">
        <v>160</v>
      </c>
      <c r="BG110" t="s">
        <v>100</v>
      </c>
      <c r="BH110" t="str">
        <f t="shared" si="5"/>
        <v>720803940</v>
      </c>
      <c r="BI110" t="s">
        <v>101</v>
      </c>
      <c r="BJ110" t="s">
        <v>102</v>
      </c>
      <c r="BK110" t="s">
        <v>102</v>
      </c>
      <c r="BL110">
        <v>811153755</v>
      </c>
      <c r="BM110">
        <v>4346253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815500008</v>
      </c>
      <c r="BT110">
        <v>99.47</v>
      </c>
      <c r="BU110">
        <v>0.53</v>
      </c>
      <c r="BV110">
        <v>0</v>
      </c>
      <c r="BW110">
        <v>0</v>
      </c>
      <c r="BX110">
        <v>0</v>
      </c>
      <c r="BY110">
        <v>0</v>
      </c>
      <c r="BZ110">
        <v>0</v>
      </c>
    </row>
    <row r="111" spans="1:78">
      <c r="A111" t="s">
        <v>152</v>
      </c>
      <c r="B111" t="s">
        <v>226</v>
      </c>
      <c r="C111" t="s">
        <v>227</v>
      </c>
      <c r="D111" t="s">
        <v>228</v>
      </c>
      <c r="E111">
        <v>6355</v>
      </c>
      <c r="F111" t="s">
        <v>229</v>
      </c>
      <c r="G111">
        <v>1452003</v>
      </c>
      <c r="H111">
        <v>1152090</v>
      </c>
      <c r="I111">
        <v>37100028</v>
      </c>
      <c r="J111">
        <v>426566</v>
      </c>
      <c r="L111" t="s">
        <v>230</v>
      </c>
      <c r="M111" t="s">
        <v>231</v>
      </c>
      <c r="N111" t="s">
        <v>87</v>
      </c>
      <c r="O111" t="s">
        <v>159</v>
      </c>
      <c r="P111" t="s">
        <v>159</v>
      </c>
      <c r="Q111" t="s">
        <v>112</v>
      </c>
      <c r="R111" t="s">
        <v>232</v>
      </c>
      <c r="S111" s="1">
        <v>46358</v>
      </c>
      <c r="T111" s="1">
        <v>46267</v>
      </c>
      <c r="U111">
        <v>19</v>
      </c>
      <c r="V111">
        <v>13</v>
      </c>
      <c r="W111" t="str">
        <f>"4.7"</f>
        <v>4.7</v>
      </c>
      <c r="X111" t="s">
        <v>245</v>
      </c>
      <c r="AA111" t="s">
        <v>94</v>
      </c>
      <c r="AB111" t="s">
        <v>95</v>
      </c>
      <c r="AC111" t="s">
        <v>96</v>
      </c>
      <c r="AD111" t="s">
        <v>95</v>
      </c>
      <c r="AE111" t="s">
        <v>95</v>
      </c>
      <c r="AF111" t="s">
        <v>95</v>
      </c>
      <c r="AN111" t="s">
        <v>95</v>
      </c>
      <c r="AQ111" s="1">
        <v>46267</v>
      </c>
      <c r="AS111">
        <v>5700</v>
      </c>
      <c r="AT111" t="s">
        <v>117</v>
      </c>
      <c r="AU111" t="s">
        <v>169</v>
      </c>
      <c r="AV111">
        <v>16395</v>
      </c>
      <c r="AW111">
        <v>16395</v>
      </c>
      <c r="AX111">
        <v>12245</v>
      </c>
      <c r="AY111">
        <v>0</v>
      </c>
      <c r="AZ111" s="1">
        <v>46357</v>
      </c>
      <c r="BB111">
        <v>494265</v>
      </c>
      <c r="BC111" t="s">
        <v>99</v>
      </c>
      <c r="BD111" t="s">
        <v>233</v>
      </c>
      <c r="BE111" t="s">
        <v>160</v>
      </c>
      <c r="BG111" t="s">
        <v>100</v>
      </c>
      <c r="BH111" t="str">
        <f t="shared" si="5"/>
        <v>720803940</v>
      </c>
      <c r="BI111" t="s">
        <v>101</v>
      </c>
      <c r="BJ111" t="s">
        <v>102</v>
      </c>
      <c r="BK111" t="s">
        <v>102</v>
      </c>
      <c r="BL111">
        <v>811193133</v>
      </c>
      <c r="BM111">
        <v>4321855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815514988</v>
      </c>
      <c r="BT111">
        <v>99.47</v>
      </c>
      <c r="BU111">
        <v>0.53</v>
      </c>
      <c r="BV111">
        <v>0</v>
      </c>
      <c r="BW111">
        <v>0</v>
      </c>
      <c r="BX111">
        <v>0</v>
      </c>
      <c r="BY111">
        <v>0</v>
      </c>
      <c r="BZ111">
        <v>0</v>
      </c>
    </row>
    <row r="112" spans="1:78">
      <c r="A112" t="s">
        <v>152</v>
      </c>
      <c r="B112" t="s">
        <v>226</v>
      </c>
      <c r="C112" t="s">
        <v>227</v>
      </c>
      <c r="D112" t="s">
        <v>228</v>
      </c>
      <c r="E112">
        <v>6355</v>
      </c>
      <c r="F112" t="s">
        <v>229</v>
      </c>
      <c r="G112">
        <v>1452003</v>
      </c>
      <c r="H112">
        <v>1152090</v>
      </c>
      <c r="I112">
        <v>37100028</v>
      </c>
      <c r="J112">
        <v>426566</v>
      </c>
      <c r="L112" t="s">
        <v>230</v>
      </c>
      <c r="M112" t="s">
        <v>231</v>
      </c>
      <c r="N112" t="s">
        <v>87</v>
      </c>
      <c r="O112" t="s">
        <v>159</v>
      </c>
      <c r="P112" t="s">
        <v>159</v>
      </c>
      <c r="Q112" t="s">
        <v>112</v>
      </c>
      <c r="R112" t="s">
        <v>232</v>
      </c>
      <c r="S112" s="1">
        <v>46358</v>
      </c>
      <c r="T112" s="1">
        <v>46267</v>
      </c>
      <c r="U112">
        <v>20</v>
      </c>
      <c r="V112">
        <v>14</v>
      </c>
      <c r="W112" t="str">
        <f>"4.8"</f>
        <v>4.8</v>
      </c>
      <c r="X112" t="s">
        <v>246</v>
      </c>
      <c r="AA112" t="s">
        <v>94</v>
      </c>
      <c r="AB112" t="s">
        <v>95</v>
      </c>
      <c r="AC112" t="s">
        <v>96</v>
      </c>
      <c r="AD112" t="s">
        <v>95</v>
      </c>
      <c r="AE112" t="s">
        <v>95</v>
      </c>
      <c r="AF112" t="s">
        <v>95</v>
      </c>
      <c r="AN112" t="s">
        <v>95</v>
      </c>
      <c r="AQ112" s="1">
        <v>46267</v>
      </c>
      <c r="AS112">
        <v>5700</v>
      </c>
      <c r="AT112" t="s">
        <v>117</v>
      </c>
      <c r="AU112" t="s">
        <v>169</v>
      </c>
      <c r="AV112">
        <v>16395</v>
      </c>
      <c r="AW112">
        <v>16395</v>
      </c>
      <c r="AX112">
        <v>12245</v>
      </c>
      <c r="AY112">
        <v>0</v>
      </c>
      <c r="AZ112" s="1">
        <v>46357</v>
      </c>
      <c r="BB112">
        <v>494265</v>
      </c>
      <c r="BC112" t="s">
        <v>99</v>
      </c>
      <c r="BD112" t="s">
        <v>233</v>
      </c>
      <c r="BE112" t="s">
        <v>160</v>
      </c>
      <c r="BG112" t="s">
        <v>100</v>
      </c>
      <c r="BH112" t="str">
        <f t="shared" si="5"/>
        <v>720803940</v>
      </c>
      <c r="BI112" t="s">
        <v>101</v>
      </c>
      <c r="BJ112" t="s">
        <v>102</v>
      </c>
      <c r="BK112" t="s">
        <v>102</v>
      </c>
      <c r="BL112">
        <v>811180106</v>
      </c>
      <c r="BM112">
        <v>4320121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815500227</v>
      </c>
      <c r="BT112">
        <v>99.47</v>
      </c>
      <c r="BU112">
        <v>0.53</v>
      </c>
      <c r="BV112">
        <v>0</v>
      </c>
      <c r="BW112">
        <v>0</v>
      </c>
      <c r="BX112">
        <v>0</v>
      </c>
      <c r="BY112">
        <v>0</v>
      </c>
      <c r="BZ112">
        <v>0</v>
      </c>
    </row>
    <row r="113" spans="1:78">
      <c r="A113" t="s">
        <v>152</v>
      </c>
      <c r="B113" t="s">
        <v>226</v>
      </c>
      <c r="C113" t="s">
        <v>227</v>
      </c>
      <c r="D113" t="s">
        <v>228</v>
      </c>
      <c r="E113">
        <v>6355</v>
      </c>
      <c r="F113" t="s">
        <v>229</v>
      </c>
      <c r="G113">
        <v>1452003</v>
      </c>
      <c r="H113">
        <v>1152090</v>
      </c>
      <c r="I113">
        <v>37100028</v>
      </c>
      <c r="J113">
        <v>426566</v>
      </c>
      <c r="L113" t="s">
        <v>230</v>
      </c>
      <c r="M113" t="s">
        <v>231</v>
      </c>
      <c r="N113" t="s">
        <v>87</v>
      </c>
      <c r="O113" t="s">
        <v>159</v>
      </c>
      <c r="P113" t="s">
        <v>159</v>
      </c>
      <c r="Q113" t="s">
        <v>112</v>
      </c>
      <c r="R113" t="s">
        <v>232</v>
      </c>
      <c r="S113" s="1">
        <v>46358</v>
      </c>
      <c r="T113" s="1">
        <v>46267</v>
      </c>
      <c r="U113">
        <v>21</v>
      </c>
      <c r="V113">
        <v>15</v>
      </c>
      <c r="W113" t="str">
        <f>"4.9"</f>
        <v>4.9</v>
      </c>
      <c r="X113" t="s">
        <v>247</v>
      </c>
      <c r="AA113" t="s">
        <v>94</v>
      </c>
      <c r="AB113" t="s">
        <v>95</v>
      </c>
      <c r="AC113" t="s">
        <v>96</v>
      </c>
      <c r="AD113" t="s">
        <v>95</v>
      </c>
      <c r="AE113" t="s">
        <v>95</v>
      </c>
      <c r="AF113" t="s">
        <v>95</v>
      </c>
      <c r="AN113" t="s">
        <v>95</v>
      </c>
      <c r="AQ113" s="1">
        <v>46267</v>
      </c>
      <c r="AS113">
        <v>5700</v>
      </c>
      <c r="AT113" t="s">
        <v>117</v>
      </c>
      <c r="AU113" t="s">
        <v>169</v>
      </c>
      <c r="AV113">
        <v>16395</v>
      </c>
      <c r="AW113">
        <v>16395</v>
      </c>
      <c r="AX113">
        <v>12245</v>
      </c>
      <c r="AY113">
        <v>0</v>
      </c>
      <c r="AZ113" s="1">
        <v>46357</v>
      </c>
      <c r="BB113">
        <v>494265</v>
      </c>
      <c r="BC113" t="s">
        <v>99</v>
      </c>
      <c r="BD113" t="s">
        <v>233</v>
      </c>
      <c r="BE113" t="s">
        <v>160</v>
      </c>
      <c r="BG113" t="s">
        <v>100</v>
      </c>
      <c r="BH113" t="str">
        <f t="shared" si="5"/>
        <v>720803940</v>
      </c>
      <c r="BI113" t="s">
        <v>101</v>
      </c>
      <c r="BJ113" t="s">
        <v>102</v>
      </c>
      <c r="BK113" t="s">
        <v>102</v>
      </c>
      <c r="BL113">
        <v>811139910</v>
      </c>
      <c r="BM113">
        <v>4351313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815491223</v>
      </c>
      <c r="BT113">
        <v>99.47</v>
      </c>
      <c r="BU113">
        <v>0.53</v>
      </c>
      <c r="BV113">
        <v>0</v>
      </c>
      <c r="BW113">
        <v>0</v>
      </c>
      <c r="BX113">
        <v>0</v>
      </c>
      <c r="BY113">
        <v>0</v>
      </c>
      <c r="BZ113">
        <v>0</v>
      </c>
    </row>
    <row r="114" spans="1:78">
      <c r="A114" t="s">
        <v>152</v>
      </c>
      <c r="B114" t="s">
        <v>226</v>
      </c>
      <c r="C114" t="s">
        <v>227</v>
      </c>
      <c r="D114" t="s">
        <v>228</v>
      </c>
      <c r="E114">
        <v>6355</v>
      </c>
      <c r="F114" t="s">
        <v>229</v>
      </c>
      <c r="G114">
        <v>1452003</v>
      </c>
      <c r="H114">
        <v>1152090</v>
      </c>
      <c r="I114">
        <v>37100028</v>
      </c>
      <c r="J114">
        <v>426566</v>
      </c>
      <c r="L114" t="s">
        <v>230</v>
      </c>
      <c r="M114" t="s">
        <v>231</v>
      </c>
      <c r="N114" t="s">
        <v>87</v>
      </c>
      <c r="O114" t="s">
        <v>159</v>
      </c>
      <c r="P114" t="s">
        <v>159</v>
      </c>
      <c r="Q114" t="s">
        <v>112</v>
      </c>
      <c r="R114" t="s">
        <v>232</v>
      </c>
      <c r="S114" s="1">
        <v>46358</v>
      </c>
      <c r="T114" s="1">
        <v>46267</v>
      </c>
      <c r="U114">
        <v>22</v>
      </c>
      <c r="V114">
        <v>16</v>
      </c>
      <c r="W114" t="str">
        <f>"4.10"</f>
        <v>4.10</v>
      </c>
      <c r="X114" t="s">
        <v>248</v>
      </c>
      <c r="AA114" t="s">
        <v>94</v>
      </c>
      <c r="AB114" t="s">
        <v>95</v>
      </c>
      <c r="AC114" t="s">
        <v>96</v>
      </c>
      <c r="AD114" t="s">
        <v>95</v>
      </c>
      <c r="AE114" t="s">
        <v>95</v>
      </c>
      <c r="AF114" t="s">
        <v>95</v>
      </c>
      <c r="AN114" t="s">
        <v>95</v>
      </c>
      <c r="AQ114" s="1">
        <v>46267</v>
      </c>
      <c r="AS114">
        <v>5700</v>
      </c>
      <c r="AT114" t="s">
        <v>117</v>
      </c>
      <c r="AU114" t="s">
        <v>169</v>
      </c>
      <c r="AV114">
        <v>16395</v>
      </c>
      <c r="AW114">
        <v>16395</v>
      </c>
      <c r="AX114">
        <v>12245</v>
      </c>
      <c r="AY114">
        <v>0</v>
      </c>
      <c r="AZ114" s="1">
        <v>46357</v>
      </c>
      <c r="BB114">
        <v>494265</v>
      </c>
      <c r="BC114" t="s">
        <v>99</v>
      </c>
      <c r="BD114" t="s">
        <v>233</v>
      </c>
      <c r="BE114" t="s">
        <v>160</v>
      </c>
      <c r="BG114" t="s">
        <v>100</v>
      </c>
      <c r="BH114" t="str">
        <f t="shared" si="5"/>
        <v>720803940</v>
      </c>
      <c r="BI114" t="s">
        <v>101</v>
      </c>
      <c r="BJ114" t="s">
        <v>102</v>
      </c>
      <c r="BK114" t="s">
        <v>102</v>
      </c>
      <c r="BL114">
        <v>811161807</v>
      </c>
      <c r="BM114">
        <v>4332575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815494382</v>
      </c>
      <c r="BT114">
        <v>99.47</v>
      </c>
      <c r="BU114">
        <v>0.53</v>
      </c>
      <c r="BV114">
        <v>0</v>
      </c>
      <c r="BW114">
        <v>0</v>
      </c>
      <c r="BX114">
        <v>0</v>
      </c>
      <c r="BY114">
        <v>0</v>
      </c>
      <c r="BZ114">
        <v>0</v>
      </c>
    </row>
    <row r="115" spans="1:78">
      <c r="A115" t="s">
        <v>152</v>
      </c>
      <c r="B115" t="s">
        <v>226</v>
      </c>
      <c r="C115" t="s">
        <v>227</v>
      </c>
      <c r="D115" t="s">
        <v>228</v>
      </c>
      <c r="E115">
        <v>6355</v>
      </c>
      <c r="F115" t="s">
        <v>229</v>
      </c>
      <c r="G115">
        <v>1452003</v>
      </c>
      <c r="H115">
        <v>1152090</v>
      </c>
      <c r="I115">
        <v>37100028</v>
      </c>
      <c r="J115">
        <v>426566</v>
      </c>
      <c r="L115" t="s">
        <v>230</v>
      </c>
      <c r="M115" t="s">
        <v>231</v>
      </c>
      <c r="N115" t="s">
        <v>87</v>
      </c>
      <c r="O115" t="s">
        <v>159</v>
      </c>
      <c r="P115" t="s">
        <v>159</v>
      </c>
      <c r="Q115" t="s">
        <v>112</v>
      </c>
      <c r="R115" t="s">
        <v>232</v>
      </c>
      <c r="S115" s="1">
        <v>46358</v>
      </c>
      <c r="T115" s="1">
        <v>46267</v>
      </c>
      <c r="U115">
        <v>23</v>
      </c>
      <c r="V115">
        <v>17</v>
      </c>
      <c r="W115" t="str">
        <f>"4.11"</f>
        <v>4.11</v>
      </c>
      <c r="X115" t="s">
        <v>249</v>
      </c>
      <c r="AA115" t="s">
        <v>94</v>
      </c>
      <c r="AB115" t="s">
        <v>95</v>
      </c>
      <c r="AC115" t="s">
        <v>96</v>
      </c>
      <c r="AD115" t="s">
        <v>95</v>
      </c>
      <c r="AE115" t="s">
        <v>95</v>
      </c>
      <c r="AF115" t="s">
        <v>95</v>
      </c>
      <c r="AN115" t="s">
        <v>95</v>
      </c>
      <c r="AQ115" s="1">
        <v>46267</v>
      </c>
      <c r="AS115">
        <v>5700</v>
      </c>
      <c r="AT115" t="s">
        <v>117</v>
      </c>
      <c r="AU115" t="s">
        <v>169</v>
      </c>
      <c r="AV115">
        <v>16395</v>
      </c>
      <c r="AW115">
        <v>16395</v>
      </c>
      <c r="AX115">
        <v>12245</v>
      </c>
      <c r="AY115">
        <v>0</v>
      </c>
      <c r="AZ115" s="1">
        <v>46357</v>
      </c>
      <c r="BB115">
        <v>494265</v>
      </c>
      <c r="BC115" t="s">
        <v>99</v>
      </c>
      <c r="BD115" t="s">
        <v>233</v>
      </c>
      <c r="BE115" t="s">
        <v>160</v>
      </c>
      <c r="BG115" t="s">
        <v>100</v>
      </c>
      <c r="BH115" t="str">
        <f t="shared" si="5"/>
        <v>720803940</v>
      </c>
      <c r="BI115" t="s">
        <v>101</v>
      </c>
      <c r="BJ115" t="s">
        <v>102</v>
      </c>
      <c r="BK115" t="s">
        <v>102</v>
      </c>
      <c r="BL115">
        <v>811149641</v>
      </c>
      <c r="BM115">
        <v>4344251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815493892</v>
      </c>
      <c r="BT115">
        <v>99.47</v>
      </c>
      <c r="BU115">
        <v>0.53</v>
      </c>
      <c r="BV115">
        <v>0</v>
      </c>
      <c r="BW115">
        <v>0</v>
      </c>
      <c r="BX115">
        <v>0</v>
      </c>
      <c r="BY115">
        <v>0</v>
      </c>
      <c r="BZ115">
        <v>0</v>
      </c>
    </row>
    <row r="116" spans="1:78">
      <c r="A116" t="s">
        <v>152</v>
      </c>
      <c r="B116" t="s">
        <v>226</v>
      </c>
      <c r="C116" t="s">
        <v>227</v>
      </c>
      <c r="D116" t="s">
        <v>228</v>
      </c>
      <c r="E116">
        <v>6355</v>
      </c>
      <c r="F116" t="s">
        <v>229</v>
      </c>
      <c r="G116">
        <v>1452003</v>
      </c>
      <c r="H116">
        <v>1152090</v>
      </c>
      <c r="I116">
        <v>37100028</v>
      </c>
      <c r="J116">
        <v>426566</v>
      </c>
      <c r="L116" t="s">
        <v>230</v>
      </c>
      <c r="M116" t="s">
        <v>231</v>
      </c>
      <c r="N116" t="s">
        <v>87</v>
      </c>
      <c r="O116" t="s">
        <v>159</v>
      </c>
      <c r="P116" t="s">
        <v>159</v>
      </c>
      <c r="Q116" t="s">
        <v>112</v>
      </c>
      <c r="R116" t="s">
        <v>232</v>
      </c>
      <c r="S116" s="1">
        <v>46358</v>
      </c>
      <c r="T116" s="1">
        <v>46267</v>
      </c>
      <c r="U116">
        <v>24</v>
      </c>
      <c r="V116">
        <v>18</v>
      </c>
      <c r="W116" t="str">
        <f>"4.12"</f>
        <v>4.12</v>
      </c>
      <c r="X116" t="s">
        <v>250</v>
      </c>
      <c r="AA116" t="s">
        <v>94</v>
      </c>
      <c r="AB116" t="s">
        <v>95</v>
      </c>
      <c r="AC116" t="s">
        <v>96</v>
      </c>
      <c r="AD116" t="s">
        <v>95</v>
      </c>
      <c r="AE116" t="s">
        <v>95</v>
      </c>
      <c r="AF116" t="s">
        <v>95</v>
      </c>
      <c r="AN116" t="s">
        <v>95</v>
      </c>
      <c r="AQ116" s="1">
        <v>46267</v>
      </c>
      <c r="AS116">
        <v>5700</v>
      </c>
      <c r="AT116" t="s">
        <v>117</v>
      </c>
      <c r="AU116" t="s">
        <v>169</v>
      </c>
      <c r="AV116">
        <v>16395</v>
      </c>
      <c r="AW116">
        <v>16395</v>
      </c>
      <c r="AX116">
        <v>12245</v>
      </c>
      <c r="AY116">
        <v>0</v>
      </c>
      <c r="AZ116" s="1">
        <v>46357</v>
      </c>
      <c r="BB116">
        <v>494265</v>
      </c>
      <c r="BC116" t="s">
        <v>99</v>
      </c>
      <c r="BD116" t="s">
        <v>233</v>
      </c>
      <c r="BE116" t="s">
        <v>160</v>
      </c>
      <c r="BG116" t="s">
        <v>100</v>
      </c>
      <c r="BH116" t="str">
        <f t="shared" si="5"/>
        <v>720803940</v>
      </c>
      <c r="BI116" t="s">
        <v>101</v>
      </c>
      <c r="BJ116" t="s">
        <v>102</v>
      </c>
      <c r="BK116" t="s">
        <v>102</v>
      </c>
      <c r="BL116">
        <v>811126603</v>
      </c>
      <c r="BM116">
        <v>4334758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815461361</v>
      </c>
      <c r="BT116">
        <v>99.47</v>
      </c>
      <c r="BU116">
        <v>0.53</v>
      </c>
      <c r="BV116">
        <v>0</v>
      </c>
      <c r="BW116">
        <v>0</v>
      </c>
      <c r="BX116">
        <v>0</v>
      </c>
      <c r="BY116">
        <v>0</v>
      </c>
      <c r="BZ116">
        <v>0</v>
      </c>
    </row>
    <row r="117" spans="1:78">
      <c r="A117" t="s">
        <v>152</v>
      </c>
      <c r="B117" t="s">
        <v>226</v>
      </c>
      <c r="C117" t="s">
        <v>227</v>
      </c>
      <c r="D117" t="s">
        <v>228</v>
      </c>
      <c r="E117">
        <v>6355</v>
      </c>
      <c r="F117" t="s">
        <v>229</v>
      </c>
      <c r="G117">
        <v>1452003</v>
      </c>
      <c r="H117">
        <v>1152090</v>
      </c>
      <c r="I117">
        <v>37100028</v>
      </c>
      <c r="J117">
        <v>426566</v>
      </c>
      <c r="L117" t="s">
        <v>230</v>
      </c>
      <c r="M117" t="s">
        <v>231</v>
      </c>
      <c r="N117" t="s">
        <v>87</v>
      </c>
      <c r="O117" t="s">
        <v>159</v>
      </c>
      <c r="P117" t="s">
        <v>159</v>
      </c>
      <c r="Q117" t="s">
        <v>112</v>
      </c>
      <c r="R117" t="s">
        <v>232</v>
      </c>
      <c r="S117" s="1">
        <v>46358</v>
      </c>
      <c r="T117" s="1">
        <v>46267</v>
      </c>
      <c r="U117">
        <v>25</v>
      </c>
      <c r="V117">
        <v>19</v>
      </c>
      <c r="W117" t="str">
        <f>"4.13"</f>
        <v>4.13</v>
      </c>
      <c r="X117" t="s">
        <v>251</v>
      </c>
      <c r="AA117" t="s">
        <v>94</v>
      </c>
      <c r="AB117" t="s">
        <v>95</v>
      </c>
      <c r="AC117" t="s">
        <v>96</v>
      </c>
      <c r="AD117" t="s">
        <v>95</v>
      </c>
      <c r="AE117" t="s">
        <v>95</v>
      </c>
      <c r="AF117" t="s">
        <v>95</v>
      </c>
      <c r="AN117" t="s">
        <v>95</v>
      </c>
      <c r="AQ117" s="1">
        <v>46267</v>
      </c>
      <c r="AS117">
        <v>5700</v>
      </c>
      <c r="AT117" t="s">
        <v>117</v>
      </c>
      <c r="AU117" t="s">
        <v>169</v>
      </c>
      <c r="AV117">
        <v>16395</v>
      </c>
      <c r="AW117">
        <v>16395</v>
      </c>
      <c r="AX117">
        <v>12245</v>
      </c>
      <c r="AY117">
        <v>0</v>
      </c>
      <c r="AZ117" s="1">
        <v>46357</v>
      </c>
      <c r="BB117">
        <v>494265</v>
      </c>
      <c r="BC117" t="s">
        <v>99</v>
      </c>
      <c r="BD117" t="s">
        <v>233</v>
      </c>
      <c r="BE117" t="s">
        <v>160</v>
      </c>
      <c r="BG117" t="s">
        <v>100</v>
      </c>
      <c r="BH117" t="str">
        <f t="shared" si="5"/>
        <v>720803940</v>
      </c>
      <c r="BI117" t="s">
        <v>101</v>
      </c>
      <c r="BJ117" t="s">
        <v>102</v>
      </c>
      <c r="BK117" t="s">
        <v>102</v>
      </c>
      <c r="BL117">
        <v>811167595</v>
      </c>
      <c r="BM117">
        <v>4332685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815500280</v>
      </c>
      <c r="BT117">
        <v>99.47</v>
      </c>
      <c r="BU117">
        <v>0.53</v>
      </c>
      <c r="BV117">
        <v>0</v>
      </c>
      <c r="BW117">
        <v>0</v>
      </c>
      <c r="BX117">
        <v>0</v>
      </c>
      <c r="BY117">
        <v>0</v>
      </c>
      <c r="BZ117">
        <v>0</v>
      </c>
    </row>
    <row r="118" spans="1:78">
      <c r="A118" t="s">
        <v>152</v>
      </c>
      <c r="B118" t="s">
        <v>226</v>
      </c>
      <c r="C118" t="s">
        <v>227</v>
      </c>
      <c r="D118" t="s">
        <v>228</v>
      </c>
      <c r="E118">
        <v>6355</v>
      </c>
      <c r="F118" t="s">
        <v>229</v>
      </c>
      <c r="G118">
        <v>1452003</v>
      </c>
      <c r="H118">
        <v>1152090</v>
      </c>
      <c r="I118">
        <v>37100028</v>
      </c>
      <c r="J118">
        <v>426566</v>
      </c>
      <c r="L118" t="s">
        <v>230</v>
      </c>
      <c r="M118" t="s">
        <v>231</v>
      </c>
      <c r="N118" t="s">
        <v>87</v>
      </c>
      <c r="O118" t="s">
        <v>159</v>
      </c>
      <c r="P118" t="s">
        <v>159</v>
      </c>
      <c r="Q118" t="s">
        <v>112</v>
      </c>
      <c r="R118" t="s">
        <v>232</v>
      </c>
      <c r="S118" s="1">
        <v>46358</v>
      </c>
      <c r="T118" s="1">
        <v>46267</v>
      </c>
      <c r="U118">
        <v>26</v>
      </c>
      <c r="V118">
        <v>20</v>
      </c>
      <c r="W118" t="str">
        <f>"4.14"</f>
        <v>4.14</v>
      </c>
      <c r="X118" t="s">
        <v>252</v>
      </c>
      <c r="AA118" t="s">
        <v>94</v>
      </c>
      <c r="AB118" t="s">
        <v>95</v>
      </c>
      <c r="AC118" t="s">
        <v>96</v>
      </c>
      <c r="AD118" t="s">
        <v>95</v>
      </c>
      <c r="AE118" t="s">
        <v>95</v>
      </c>
      <c r="AF118" t="s">
        <v>95</v>
      </c>
      <c r="AN118" t="s">
        <v>95</v>
      </c>
      <c r="AQ118" s="1">
        <v>46267</v>
      </c>
      <c r="AS118">
        <v>5700</v>
      </c>
      <c r="AT118" t="s">
        <v>117</v>
      </c>
      <c r="AU118" t="s">
        <v>169</v>
      </c>
      <c r="AV118">
        <v>16395</v>
      </c>
      <c r="AW118">
        <v>16395</v>
      </c>
      <c r="AX118">
        <v>12245</v>
      </c>
      <c r="AY118">
        <v>0</v>
      </c>
      <c r="AZ118" s="1">
        <v>46357</v>
      </c>
      <c r="BB118">
        <v>494265</v>
      </c>
      <c r="BC118" t="s">
        <v>99</v>
      </c>
      <c r="BD118" t="s">
        <v>233</v>
      </c>
      <c r="BE118" t="s">
        <v>160</v>
      </c>
      <c r="BG118" t="s">
        <v>100</v>
      </c>
      <c r="BH118" t="str">
        <f t="shared" si="5"/>
        <v>720803940</v>
      </c>
      <c r="BI118" t="s">
        <v>101</v>
      </c>
      <c r="BJ118" t="s">
        <v>102</v>
      </c>
      <c r="BK118" t="s">
        <v>102</v>
      </c>
      <c r="BL118">
        <v>807310025</v>
      </c>
      <c r="BM118">
        <v>4615548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811925573</v>
      </c>
      <c r="BT118">
        <v>99.43</v>
      </c>
      <c r="BU118">
        <v>0.56999999999999995</v>
      </c>
      <c r="BV118">
        <v>0</v>
      </c>
      <c r="BW118">
        <v>0</v>
      </c>
      <c r="BX118">
        <v>0</v>
      </c>
      <c r="BY118">
        <v>0</v>
      </c>
      <c r="BZ118">
        <v>0</v>
      </c>
    </row>
    <row r="119" spans="1:78">
      <c r="A119" t="s">
        <v>152</v>
      </c>
      <c r="B119" t="s">
        <v>226</v>
      </c>
      <c r="C119" t="s">
        <v>227</v>
      </c>
      <c r="D119" t="s">
        <v>228</v>
      </c>
      <c r="E119">
        <v>6355</v>
      </c>
      <c r="F119" t="s">
        <v>229</v>
      </c>
      <c r="G119">
        <v>1452003</v>
      </c>
      <c r="H119">
        <v>1152090</v>
      </c>
      <c r="I119">
        <v>37100028</v>
      </c>
      <c r="J119">
        <v>426566</v>
      </c>
      <c r="L119" t="s">
        <v>230</v>
      </c>
      <c r="M119" t="s">
        <v>231</v>
      </c>
      <c r="N119" t="s">
        <v>87</v>
      </c>
      <c r="O119" t="s">
        <v>159</v>
      </c>
      <c r="P119" t="s">
        <v>159</v>
      </c>
      <c r="Q119" t="s">
        <v>112</v>
      </c>
      <c r="R119" t="s">
        <v>232</v>
      </c>
      <c r="S119" s="1">
        <v>46358</v>
      </c>
      <c r="T119" s="1">
        <v>46267</v>
      </c>
      <c r="U119">
        <v>27</v>
      </c>
      <c r="V119">
        <v>21</v>
      </c>
      <c r="W119" t="str">
        <f>"4.15"</f>
        <v>4.15</v>
      </c>
      <c r="X119" t="s">
        <v>253</v>
      </c>
      <c r="AA119" t="s">
        <v>94</v>
      </c>
      <c r="AB119" t="s">
        <v>95</v>
      </c>
      <c r="AC119" t="s">
        <v>96</v>
      </c>
      <c r="AD119" t="s">
        <v>95</v>
      </c>
      <c r="AE119" t="s">
        <v>95</v>
      </c>
      <c r="AF119" t="s">
        <v>95</v>
      </c>
      <c r="AN119" t="s">
        <v>95</v>
      </c>
      <c r="AQ119" s="1">
        <v>46267</v>
      </c>
      <c r="AS119">
        <v>5700</v>
      </c>
      <c r="AT119" t="s">
        <v>117</v>
      </c>
      <c r="AU119" t="s">
        <v>169</v>
      </c>
      <c r="AV119">
        <v>16395</v>
      </c>
      <c r="AW119">
        <v>16395</v>
      </c>
      <c r="AX119">
        <v>12245</v>
      </c>
      <c r="AY119">
        <v>0</v>
      </c>
      <c r="AZ119" s="1">
        <v>46357</v>
      </c>
      <c r="BB119">
        <v>494265</v>
      </c>
      <c r="BC119" t="s">
        <v>99</v>
      </c>
      <c r="BD119" t="s">
        <v>233</v>
      </c>
      <c r="BE119" t="s">
        <v>160</v>
      </c>
      <c r="BG119" t="s">
        <v>100</v>
      </c>
      <c r="BH119" t="str">
        <f t="shared" si="5"/>
        <v>720803940</v>
      </c>
      <c r="BI119" t="s">
        <v>101</v>
      </c>
      <c r="BJ119" t="s">
        <v>102</v>
      </c>
      <c r="BK119" t="s">
        <v>102</v>
      </c>
      <c r="BL119">
        <v>811160381</v>
      </c>
      <c r="BM119">
        <v>4352808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815513189</v>
      </c>
      <c r="BT119">
        <v>99.47</v>
      </c>
      <c r="BU119">
        <v>0.53</v>
      </c>
      <c r="BV119">
        <v>0</v>
      </c>
      <c r="BW119">
        <v>0</v>
      </c>
      <c r="BX119">
        <v>0</v>
      </c>
      <c r="BY119">
        <v>0</v>
      </c>
      <c r="BZ119">
        <v>0</v>
      </c>
    </row>
    <row r="120" spans="1:78">
      <c r="A120" t="s">
        <v>152</v>
      </c>
      <c r="B120" t="s">
        <v>226</v>
      </c>
      <c r="C120" t="s">
        <v>227</v>
      </c>
      <c r="D120" t="s">
        <v>228</v>
      </c>
      <c r="E120">
        <v>6355</v>
      </c>
      <c r="F120" t="s">
        <v>229</v>
      </c>
      <c r="G120">
        <v>1452003</v>
      </c>
      <c r="H120">
        <v>1152090</v>
      </c>
      <c r="I120">
        <v>37100028</v>
      </c>
      <c r="J120">
        <v>426566</v>
      </c>
      <c r="L120" t="s">
        <v>230</v>
      </c>
      <c r="M120" t="s">
        <v>231</v>
      </c>
      <c r="N120" t="s">
        <v>87</v>
      </c>
      <c r="O120" t="s">
        <v>159</v>
      </c>
      <c r="P120" t="s">
        <v>159</v>
      </c>
      <c r="Q120" t="s">
        <v>112</v>
      </c>
      <c r="R120" t="s">
        <v>232</v>
      </c>
      <c r="S120" s="1">
        <v>46358</v>
      </c>
      <c r="T120" s="1">
        <v>46267</v>
      </c>
      <c r="U120">
        <v>28</v>
      </c>
      <c r="V120">
        <v>22</v>
      </c>
      <c r="W120" t="str">
        <f>"4.16"</f>
        <v>4.16</v>
      </c>
      <c r="X120" t="s">
        <v>254</v>
      </c>
      <c r="AA120" t="s">
        <v>94</v>
      </c>
      <c r="AB120" t="s">
        <v>95</v>
      </c>
      <c r="AC120" t="s">
        <v>96</v>
      </c>
      <c r="AD120" t="s">
        <v>95</v>
      </c>
      <c r="AE120" t="s">
        <v>95</v>
      </c>
      <c r="AF120" t="s">
        <v>95</v>
      </c>
      <c r="AN120" t="s">
        <v>95</v>
      </c>
      <c r="AQ120" s="1">
        <v>46267</v>
      </c>
      <c r="AS120">
        <v>5700</v>
      </c>
      <c r="AT120" t="s">
        <v>117</v>
      </c>
      <c r="AU120" t="s">
        <v>169</v>
      </c>
      <c r="AV120">
        <v>16395</v>
      </c>
      <c r="AW120">
        <v>16395</v>
      </c>
      <c r="AX120">
        <v>12245</v>
      </c>
      <c r="AY120">
        <v>0</v>
      </c>
      <c r="AZ120" s="1">
        <v>46357</v>
      </c>
      <c r="BB120">
        <v>494265</v>
      </c>
      <c r="BC120" t="s">
        <v>99</v>
      </c>
      <c r="BD120" t="s">
        <v>233</v>
      </c>
      <c r="BE120" t="s">
        <v>160</v>
      </c>
      <c r="BG120" t="s">
        <v>100</v>
      </c>
      <c r="BH120" t="str">
        <f t="shared" si="5"/>
        <v>720803940</v>
      </c>
      <c r="BI120" t="s">
        <v>101</v>
      </c>
      <c r="BJ120" t="s">
        <v>102</v>
      </c>
      <c r="BK120" t="s">
        <v>102</v>
      </c>
      <c r="BL120">
        <v>811135354</v>
      </c>
      <c r="BM120">
        <v>4358412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815493766</v>
      </c>
      <c r="BT120">
        <v>99.47</v>
      </c>
      <c r="BU120">
        <v>0.53</v>
      </c>
      <c r="BV120">
        <v>0</v>
      </c>
      <c r="BW120">
        <v>0</v>
      </c>
      <c r="BX120">
        <v>0</v>
      </c>
      <c r="BY120">
        <v>0</v>
      </c>
      <c r="BZ120">
        <v>0</v>
      </c>
    </row>
    <row r="121" spans="1:78">
      <c r="A121" t="s">
        <v>152</v>
      </c>
      <c r="B121" t="s">
        <v>226</v>
      </c>
      <c r="C121" t="s">
        <v>227</v>
      </c>
      <c r="D121" t="s">
        <v>228</v>
      </c>
      <c r="E121">
        <v>6355</v>
      </c>
      <c r="F121" t="s">
        <v>229</v>
      </c>
      <c r="G121">
        <v>1452003</v>
      </c>
      <c r="H121">
        <v>1152090</v>
      </c>
      <c r="I121">
        <v>37100028</v>
      </c>
      <c r="J121">
        <v>426566</v>
      </c>
      <c r="L121" t="s">
        <v>230</v>
      </c>
      <c r="M121" t="s">
        <v>231</v>
      </c>
      <c r="N121" t="s">
        <v>87</v>
      </c>
      <c r="O121" t="s">
        <v>159</v>
      </c>
      <c r="P121" t="s">
        <v>159</v>
      </c>
      <c r="Q121" t="s">
        <v>112</v>
      </c>
      <c r="R121" t="s">
        <v>232</v>
      </c>
      <c r="S121" s="1">
        <v>46358</v>
      </c>
      <c r="T121" s="1">
        <v>46267</v>
      </c>
      <c r="U121">
        <v>29</v>
      </c>
      <c r="V121">
        <v>23</v>
      </c>
      <c r="W121" t="str">
        <f>"4.17"</f>
        <v>4.17</v>
      </c>
      <c r="X121" t="s">
        <v>255</v>
      </c>
      <c r="AA121" t="s">
        <v>94</v>
      </c>
      <c r="AB121" t="s">
        <v>95</v>
      </c>
      <c r="AC121" t="s">
        <v>96</v>
      </c>
      <c r="AD121" t="s">
        <v>95</v>
      </c>
      <c r="AE121" t="s">
        <v>95</v>
      </c>
      <c r="AF121" t="s">
        <v>95</v>
      </c>
      <c r="AN121" t="s">
        <v>95</v>
      </c>
      <c r="AQ121" s="1">
        <v>46267</v>
      </c>
      <c r="AS121">
        <v>5700</v>
      </c>
      <c r="AT121" t="s">
        <v>117</v>
      </c>
      <c r="AU121" t="s">
        <v>169</v>
      </c>
      <c r="AV121">
        <v>16395</v>
      </c>
      <c r="AW121">
        <v>16395</v>
      </c>
      <c r="AX121">
        <v>12245</v>
      </c>
      <c r="AY121">
        <v>0</v>
      </c>
      <c r="AZ121" s="1">
        <v>46357</v>
      </c>
      <c r="BB121">
        <v>494265</v>
      </c>
      <c r="BC121" t="s">
        <v>99</v>
      </c>
      <c r="BD121" t="s">
        <v>233</v>
      </c>
      <c r="BE121" t="s">
        <v>160</v>
      </c>
      <c r="BG121" t="s">
        <v>100</v>
      </c>
      <c r="BH121" t="str">
        <f t="shared" si="5"/>
        <v>720803940</v>
      </c>
      <c r="BI121" t="s">
        <v>101</v>
      </c>
      <c r="BJ121" t="s">
        <v>102</v>
      </c>
      <c r="BK121" t="s">
        <v>102</v>
      </c>
      <c r="BL121">
        <v>811150957</v>
      </c>
      <c r="BM121">
        <v>4340905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815491862</v>
      </c>
      <c r="BT121">
        <v>99.47</v>
      </c>
      <c r="BU121">
        <v>0.53</v>
      </c>
      <c r="BV121">
        <v>0</v>
      </c>
      <c r="BW121">
        <v>0</v>
      </c>
      <c r="BX121">
        <v>0</v>
      </c>
      <c r="BY121">
        <v>0</v>
      </c>
      <c r="BZ121">
        <v>0</v>
      </c>
    </row>
    <row r="122" spans="1:78">
      <c r="A122" t="s">
        <v>152</v>
      </c>
      <c r="B122" t="s">
        <v>226</v>
      </c>
      <c r="C122" t="s">
        <v>227</v>
      </c>
      <c r="D122" t="s">
        <v>228</v>
      </c>
      <c r="E122">
        <v>6355</v>
      </c>
      <c r="F122" t="s">
        <v>229</v>
      </c>
      <c r="G122">
        <v>1452003</v>
      </c>
      <c r="H122">
        <v>1152090</v>
      </c>
      <c r="I122">
        <v>37100028</v>
      </c>
      <c r="J122">
        <v>426566</v>
      </c>
      <c r="L122" t="s">
        <v>230</v>
      </c>
      <c r="M122" t="s">
        <v>231</v>
      </c>
      <c r="N122" t="s">
        <v>87</v>
      </c>
      <c r="O122" t="s">
        <v>159</v>
      </c>
      <c r="P122" t="s">
        <v>159</v>
      </c>
      <c r="Q122" t="s">
        <v>112</v>
      </c>
      <c r="R122" t="s">
        <v>232</v>
      </c>
      <c r="S122" s="1">
        <v>46358</v>
      </c>
      <c r="T122" s="1">
        <v>46267</v>
      </c>
      <c r="U122">
        <v>30</v>
      </c>
      <c r="V122">
        <v>24</v>
      </c>
      <c r="W122" t="str">
        <f>"5"</f>
        <v>5</v>
      </c>
      <c r="X122" t="s">
        <v>190</v>
      </c>
      <c r="AA122" t="s">
        <v>94</v>
      </c>
      <c r="AB122" t="s">
        <v>95</v>
      </c>
      <c r="AC122" t="s">
        <v>96</v>
      </c>
      <c r="AD122" t="s">
        <v>95</v>
      </c>
      <c r="AE122" t="s">
        <v>95</v>
      </c>
      <c r="AF122" t="s">
        <v>95</v>
      </c>
      <c r="AN122" t="s">
        <v>95</v>
      </c>
      <c r="AQ122" s="1">
        <v>46267</v>
      </c>
      <c r="AS122">
        <v>5200</v>
      </c>
      <c r="AT122" t="s">
        <v>126</v>
      </c>
      <c r="AU122" t="s">
        <v>190</v>
      </c>
      <c r="AV122">
        <v>16395</v>
      </c>
      <c r="AW122">
        <v>16395</v>
      </c>
      <c r="AX122">
        <v>12245</v>
      </c>
      <c r="AY122">
        <v>0</v>
      </c>
      <c r="AZ122" s="1">
        <v>46357</v>
      </c>
      <c r="BB122">
        <v>494265</v>
      </c>
      <c r="BC122" t="s">
        <v>99</v>
      </c>
      <c r="BD122" t="s">
        <v>233</v>
      </c>
      <c r="BE122" t="s">
        <v>160</v>
      </c>
      <c r="BG122" t="s">
        <v>100</v>
      </c>
      <c r="BH122" t="str">
        <f t="shared" si="5"/>
        <v>720803940</v>
      </c>
      <c r="BI122" t="s">
        <v>101</v>
      </c>
      <c r="BJ122" t="s">
        <v>102</v>
      </c>
      <c r="BK122" t="s">
        <v>102</v>
      </c>
      <c r="BL122">
        <v>823659145</v>
      </c>
      <c r="BM122">
        <v>216259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823875404</v>
      </c>
      <c r="BT122">
        <v>99.97</v>
      </c>
      <c r="BU122">
        <v>0.03</v>
      </c>
      <c r="BV122">
        <v>0</v>
      </c>
      <c r="BW122">
        <v>0</v>
      </c>
      <c r="BX122">
        <v>0</v>
      </c>
      <c r="BY122">
        <v>0</v>
      </c>
      <c r="BZ122">
        <v>0</v>
      </c>
    </row>
    <row r="123" spans="1:78">
      <c r="A123" t="s">
        <v>152</v>
      </c>
      <c r="B123" t="s">
        <v>226</v>
      </c>
      <c r="C123" t="s">
        <v>227</v>
      </c>
      <c r="D123" t="s">
        <v>228</v>
      </c>
      <c r="E123">
        <v>6355</v>
      </c>
      <c r="F123" t="s">
        <v>229</v>
      </c>
      <c r="G123">
        <v>1452003</v>
      </c>
      <c r="H123">
        <v>1152090</v>
      </c>
      <c r="I123">
        <v>37100028</v>
      </c>
      <c r="J123">
        <v>426566</v>
      </c>
      <c r="L123" t="s">
        <v>230</v>
      </c>
      <c r="M123" t="s">
        <v>231</v>
      </c>
      <c r="N123" t="s">
        <v>87</v>
      </c>
      <c r="O123" t="s">
        <v>159</v>
      </c>
      <c r="P123" t="s">
        <v>159</v>
      </c>
      <c r="Q123" t="s">
        <v>112</v>
      </c>
      <c r="R123" t="s">
        <v>232</v>
      </c>
      <c r="S123" s="1">
        <v>46358</v>
      </c>
      <c r="T123" s="1">
        <v>46267</v>
      </c>
      <c r="U123">
        <v>31</v>
      </c>
      <c r="V123">
        <v>25</v>
      </c>
      <c r="W123" t="str">
        <f>"6"</f>
        <v>6</v>
      </c>
      <c r="X123" t="s">
        <v>191</v>
      </c>
      <c r="AA123" t="s">
        <v>94</v>
      </c>
      <c r="AB123" t="s">
        <v>95</v>
      </c>
      <c r="AC123" t="s">
        <v>96</v>
      </c>
      <c r="AD123" t="s">
        <v>95</v>
      </c>
      <c r="AE123" t="s">
        <v>95</v>
      </c>
      <c r="AF123" t="s">
        <v>95</v>
      </c>
      <c r="AN123" t="s">
        <v>95</v>
      </c>
      <c r="AQ123" s="1">
        <v>46267</v>
      </c>
      <c r="AS123">
        <v>5210</v>
      </c>
      <c r="AT123" t="s">
        <v>126</v>
      </c>
      <c r="AU123" t="s">
        <v>192</v>
      </c>
      <c r="AV123">
        <v>16395</v>
      </c>
      <c r="AW123">
        <v>16395</v>
      </c>
      <c r="AX123">
        <v>12245</v>
      </c>
      <c r="AY123">
        <v>0</v>
      </c>
      <c r="AZ123" s="1">
        <v>46357</v>
      </c>
      <c r="BB123">
        <v>494265</v>
      </c>
      <c r="BC123" t="s">
        <v>99</v>
      </c>
      <c r="BD123" t="s">
        <v>233</v>
      </c>
      <c r="BE123" t="s">
        <v>160</v>
      </c>
      <c r="BG123" t="s">
        <v>100</v>
      </c>
      <c r="BH123" t="str">
        <f t="shared" si="5"/>
        <v>720803940</v>
      </c>
      <c r="BI123" t="s">
        <v>101</v>
      </c>
      <c r="BJ123" t="s">
        <v>102</v>
      </c>
      <c r="BK123" t="s">
        <v>102</v>
      </c>
      <c r="BL123">
        <v>822986373</v>
      </c>
      <c r="BM123">
        <v>836686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823823059</v>
      </c>
      <c r="BT123">
        <v>99.9</v>
      </c>
      <c r="BU123">
        <v>0.1</v>
      </c>
      <c r="BV123">
        <v>0</v>
      </c>
      <c r="BW123">
        <v>0</v>
      </c>
      <c r="BX123">
        <v>0</v>
      </c>
      <c r="BY123">
        <v>0</v>
      </c>
      <c r="BZ123">
        <v>0</v>
      </c>
    </row>
    <row r="124" spans="1:78">
      <c r="A124" t="s">
        <v>152</v>
      </c>
      <c r="B124" t="s">
        <v>226</v>
      </c>
      <c r="C124" t="s">
        <v>227</v>
      </c>
      <c r="D124" t="s">
        <v>228</v>
      </c>
      <c r="E124">
        <v>6355</v>
      </c>
      <c r="F124" t="s">
        <v>229</v>
      </c>
      <c r="G124">
        <v>1452003</v>
      </c>
      <c r="H124">
        <v>1152090</v>
      </c>
      <c r="I124">
        <v>37100028</v>
      </c>
      <c r="J124">
        <v>426566</v>
      </c>
      <c r="L124" t="s">
        <v>230</v>
      </c>
      <c r="M124" t="s">
        <v>231</v>
      </c>
      <c r="N124" t="s">
        <v>87</v>
      </c>
      <c r="O124" t="s">
        <v>159</v>
      </c>
      <c r="P124" t="s">
        <v>159</v>
      </c>
      <c r="Q124" t="s">
        <v>112</v>
      </c>
      <c r="R124" t="s">
        <v>232</v>
      </c>
      <c r="S124" s="1">
        <v>46358</v>
      </c>
      <c r="T124" s="1">
        <v>46267</v>
      </c>
      <c r="U124">
        <v>32</v>
      </c>
      <c r="V124">
        <v>26</v>
      </c>
      <c r="W124" t="str">
        <f>"7"</f>
        <v>7</v>
      </c>
      <c r="X124" t="s">
        <v>256</v>
      </c>
      <c r="AA124" t="s">
        <v>94</v>
      </c>
      <c r="AB124" t="s">
        <v>95</v>
      </c>
      <c r="AC124" t="s">
        <v>96</v>
      </c>
      <c r="AD124" t="s">
        <v>95</v>
      </c>
      <c r="AE124" t="s">
        <v>95</v>
      </c>
      <c r="AF124" t="s">
        <v>95</v>
      </c>
      <c r="AN124" t="s">
        <v>95</v>
      </c>
      <c r="AQ124" s="1">
        <v>46267</v>
      </c>
      <c r="AS124">
        <v>5505</v>
      </c>
      <c r="AT124" t="s">
        <v>128</v>
      </c>
      <c r="AU124" t="s">
        <v>257</v>
      </c>
      <c r="AV124">
        <v>16395</v>
      </c>
      <c r="AW124">
        <v>16395</v>
      </c>
      <c r="AX124">
        <v>12245</v>
      </c>
      <c r="AY124">
        <v>0</v>
      </c>
      <c r="AZ124" s="1">
        <v>46357</v>
      </c>
      <c r="BB124">
        <v>494265</v>
      </c>
      <c r="BC124" t="s">
        <v>99</v>
      </c>
      <c r="BD124" t="s">
        <v>233</v>
      </c>
      <c r="BE124" t="s">
        <v>160</v>
      </c>
      <c r="BG124" t="s">
        <v>100</v>
      </c>
      <c r="BH124" t="str">
        <f t="shared" si="5"/>
        <v>720803940</v>
      </c>
      <c r="BI124" t="s">
        <v>101</v>
      </c>
      <c r="BJ124" t="s">
        <v>102</v>
      </c>
      <c r="BK124" t="s">
        <v>102</v>
      </c>
      <c r="BL124">
        <v>815582645</v>
      </c>
      <c r="BM124">
        <v>8228486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823811131</v>
      </c>
      <c r="BT124">
        <v>99</v>
      </c>
      <c r="BU124">
        <v>1</v>
      </c>
      <c r="BV124">
        <v>0</v>
      </c>
      <c r="BW124">
        <v>0</v>
      </c>
      <c r="BX124">
        <v>0</v>
      </c>
      <c r="BY124">
        <v>0</v>
      </c>
      <c r="BZ124">
        <v>0</v>
      </c>
    </row>
    <row r="125" spans="1:78">
      <c r="A125" t="s">
        <v>152</v>
      </c>
      <c r="B125" t="s">
        <v>226</v>
      </c>
      <c r="C125" t="s">
        <v>227</v>
      </c>
      <c r="D125" t="s">
        <v>228</v>
      </c>
      <c r="E125">
        <v>6355</v>
      </c>
      <c r="F125" t="s">
        <v>229</v>
      </c>
      <c r="G125">
        <v>1452003</v>
      </c>
      <c r="H125">
        <v>1152090</v>
      </c>
      <c r="I125">
        <v>37100028</v>
      </c>
      <c r="J125">
        <v>426566</v>
      </c>
      <c r="L125" t="s">
        <v>230</v>
      </c>
      <c r="M125" t="s">
        <v>231</v>
      </c>
      <c r="N125" t="s">
        <v>87</v>
      </c>
      <c r="O125" t="s">
        <v>159</v>
      </c>
      <c r="P125" t="s">
        <v>159</v>
      </c>
      <c r="Q125" t="s">
        <v>112</v>
      </c>
      <c r="R125" t="s">
        <v>232</v>
      </c>
      <c r="S125" s="1">
        <v>46358</v>
      </c>
      <c r="T125" s="1">
        <v>46267</v>
      </c>
      <c r="U125">
        <v>33</v>
      </c>
      <c r="V125">
        <v>27</v>
      </c>
      <c r="W125" t="str">
        <f>"8"</f>
        <v>8</v>
      </c>
      <c r="X125" t="s">
        <v>258</v>
      </c>
      <c r="AA125" t="s">
        <v>94</v>
      </c>
      <c r="AB125" t="s">
        <v>95</v>
      </c>
      <c r="AC125" t="s">
        <v>96</v>
      </c>
      <c r="AD125" t="s">
        <v>95</v>
      </c>
      <c r="AE125" t="s">
        <v>95</v>
      </c>
      <c r="AF125" t="s">
        <v>95</v>
      </c>
      <c r="AN125" t="s">
        <v>95</v>
      </c>
      <c r="AQ125" s="1">
        <v>46267</v>
      </c>
      <c r="AS125">
        <v>5605</v>
      </c>
      <c r="AT125" t="s">
        <v>128</v>
      </c>
      <c r="AU125" t="s">
        <v>259</v>
      </c>
      <c r="AV125">
        <v>16395</v>
      </c>
      <c r="AW125">
        <v>16395</v>
      </c>
      <c r="AX125">
        <v>12245</v>
      </c>
      <c r="AY125">
        <v>0</v>
      </c>
      <c r="AZ125" s="1">
        <v>46357</v>
      </c>
      <c r="BB125">
        <v>494265</v>
      </c>
      <c r="BC125" t="s">
        <v>99</v>
      </c>
      <c r="BD125" t="s">
        <v>233</v>
      </c>
      <c r="BE125" t="s">
        <v>160</v>
      </c>
      <c r="BG125" t="s">
        <v>100</v>
      </c>
      <c r="BH125" t="str">
        <f t="shared" si="5"/>
        <v>720803940</v>
      </c>
      <c r="BI125" t="s">
        <v>101</v>
      </c>
      <c r="BJ125" t="s">
        <v>102</v>
      </c>
      <c r="BK125" t="s">
        <v>102</v>
      </c>
      <c r="BL125">
        <v>711736439</v>
      </c>
      <c r="BM125">
        <v>99947559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811683998</v>
      </c>
      <c r="BT125">
        <v>87.69</v>
      </c>
      <c r="BU125">
        <v>12.31</v>
      </c>
      <c r="BV125">
        <v>0</v>
      </c>
      <c r="BW125">
        <v>0</v>
      </c>
      <c r="BX125">
        <v>0</v>
      </c>
      <c r="BY125">
        <v>0</v>
      </c>
      <c r="BZ125">
        <v>0</v>
      </c>
    </row>
    <row r="126" spans="1:78">
      <c r="A126" t="s">
        <v>152</v>
      </c>
      <c r="B126" t="s">
        <v>226</v>
      </c>
      <c r="C126" t="s">
        <v>227</v>
      </c>
      <c r="D126" t="s">
        <v>228</v>
      </c>
      <c r="E126">
        <v>6355</v>
      </c>
      <c r="F126" t="s">
        <v>229</v>
      </c>
      <c r="G126">
        <v>1452003</v>
      </c>
      <c r="H126">
        <v>1152090</v>
      </c>
      <c r="I126">
        <v>37100028</v>
      </c>
      <c r="J126">
        <v>426566</v>
      </c>
      <c r="L126" t="s">
        <v>230</v>
      </c>
      <c r="M126" t="s">
        <v>231</v>
      </c>
      <c r="N126" t="s">
        <v>87</v>
      </c>
      <c r="O126" t="s">
        <v>159</v>
      </c>
      <c r="P126" t="s">
        <v>159</v>
      </c>
      <c r="Q126" t="s">
        <v>112</v>
      </c>
      <c r="R126" t="s">
        <v>232</v>
      </c>
      <c r="S126" s="1">
        <v>46358</v>
      </c>
      <c r="T126" s="1">
        <v>46267</v>
      </c>
      <c r="U126">
        <v>34</v>
      </c>
      <c r="V126">
        <v>28</v>
      </c>
      <c r="W126" t="str">
        <f>"9"</f>
        <v>9</v>
      </c>
      <c r="X126" t="s">
        <v>193</v>
      </c>
      <c r="AA126" t="s">
        <v>94</v>
      </c>
      <c r="AB126" t="s">
        <v>95</v>
      </c>
      <c r="AC126" t="s">
        <v>96</v>
      </c>
      <c r="AD126" t="s">
        <v>95</v>
      </c>
      <c r="AE126" t="s">
        <v>95</v>
      </c>
      <c r="AF126" t="s">
        <v>95</v>
      </c>
      <c r="AN126" t="s">
        <v>95</v>
      </c>
      <c r="AQ126" s="1">
        <v>46267</v>
      </c>
      <c r="AS126">
        <v>5600</v>
      </c>
      <c r="AT126" t="s">
        <v>128</v>
      </c>
      <c r="AU126" t="s">
        <v>194</v>
      </c>
      <c r="AV126">
        <v>16395</v>
      </c>
      <c r="AW126">
        <v>16395</v>
      </c>
      <c r="AX126">
        <v>12245</v>
      </c>
      <c r="AY126">
        <v>0</v>
      </c>
      <c r="AZ126" s="1">
        <v>46357</v>
      </c>
      <c r="BB126">
        <v>494265</v>
      </c>
      <c r="BC126" t="s">
        <v>99</v>
      </c>
      <c r="BD126" t="s">
        <v>233</v>
      </c>
      <c r="BE126" t="s">
        <v>160</v>
      </c>
      <c r="BG126" t="s">
        <v>100</v>
      </c>
      <c r="BH126" t="str">
        <f t="shared" si="5"/>
        <v>720803940</v>
      </c>
      <c r="BI126" t="s">
        <v>101</v>
      </c>
      <c r="BJ126" t="s">
        <v>102</v>
      </c>
      <c r="BK126" t="s">
        <v>102</v>
      </c>
      <c r="BL126">
        <v>695401968</v>
      </c>
      <c r="BM126">
        <v>92100122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787502090</v>
      </c>
      <c r="BT126">
        <v>88.3</v>
      </c>
      <c r="BU126">
        <v>11.7</v>
      </c>
      <c r="BV126">
        <v>0</v>
      </c>
      <c r="BW126">
        <v>0</v>
      </c>
      <c r="BX126">
        <v>0</v>
      </c>
      <c r="BY126">
        <v>0</v>
      </c>
      <c r="BZ126">
        <v>0</v>
      </c>
    </row>
    <row r="127" spans="1:78">
      <c r="A127" t="s">
        <v>260</v>
      </c>
      <c r="B127" t="s">
        <v>226</v>
      </c>
      <c r="C127" t="s">
        <v>227</v>
      </c>
      <c r="D127" t="s">
        <v>228</v>
      </c>
      <c r="E127">
        <v>6355</v>
      </c>
      <c r="F127" t="s">
        <v>229</v>
      </c>
      <c r="G127">
        <v>1452003</v>
      </c>
      <c r="H127">
        <v>1152090</v>
      </c>
      <c r="I127">
        <v>37100027</v>
      </c>
      <c r="J127">
        <v>426566</v>
      </c>
      <c r="L127" t="s">
        <v>230</v>
      </c>
      <c r="M127" t="s">
        <v>231</v>
      </c>
      <c r="N127" t="s">
        <v>87</v>
      </c>
      <c r="O127" t="s">
        <v>159</v>
      </c>
      <c r="P127" t="s">
        <v>159</v>
      </c>
      <c r="Q127" t="s">
        <v>112</v>
      </c>
      <c r="R127" t="s">
        <v>232</v>
      </c>
      <c r="S127" s="1">
        <v>46358</v>
      </c>
      <c r="T127" s="1">
        <v>46267</v>
      </c>
      <c r="U127">
        <v>7</v>
      </c>
      <c r="V127">
        <v>1</v>
      </c>
      <c r="W127" t="str">
        <f>"2"</f>
        <v>2</v>
      </c>
      <c r="X127" t="s">
        <v>161</v>
      </c>
      <c r="AA127" t="s">
        <v>94</v>
      </c>
      <c r="AB127" t="s">
        <v>95</v>
      </c>
      <c r="AC127" t="s">
        <v>96</v>
      </c>
      <c r="AD127" t="s">
        <v>95</v>
      </c>
      <c r="AE127" t="s">
        <v>95</v>
      </c>
      <c r="AF127" t="s">
        <v>95</v>
      </c>
      <c r="AN127" t="s">
        <v>95</v>
      </c>
      <c r="AQ127" s="1">
        <v>46267</v>
      </c>
      <c r="AS127">
        <v>5000</v>
      </c>
      <c r="AT127" t="s">
        <v>126</v>
      </c>
      <c r="AU127" t="s">
        <v>162</v>
      </c>
      <c r="AV127">
        <v>49431</v>
      </c>
      <c r="AW127">
        <v>49431</v>
      </c>
      <c r="AX127">
        <v>40416</v>
      </c>
      <c r="AY127">
        <v>0</v>
      </c>
      <c r="AZ127" s="1">
        <v>46357</v>
      </c>
      <c r="BB127">
        <v>494265</v>
      </c>
      <c r="BC127" t="s">
        <v>99</v>
      </c>
      <c r="BD127" t="s">
        <v>233</v>
      </c>
      <c r="BE127" t="s">
        <v>160</v>
      </c>
      <c r="BG127" t="s">
        <v>100</v>
      </c>
      <c r="BH127" t="str">
        <f t="shared" si="5"/>
        <v>720803940</v>
      </c>
      <c r="BI127" t="s">
        <v>101</v>
      </c>
      <c r="BJ127" t="s">
        <v>102</v>
      </c>
      <c r="BK127" t="s">
        <v>102</v>
      </c>
      <c r="BL127">
        <v>823367021</v>
      </c>
      <c r="BM127">
        <v>276660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823643681</v>
      </c>
      <c r="BT127">
        <v>99.97</v>
      </c>
      <c r="BU127">
        <v>0.03</v>
      </c>
      <c r="BV127">
        <v>0</v>
      </c>
      <c r="BW127">
        <v>0</v>
      </c>
      <c r="BX127">
        <v>0</v>
      </c>
      <c r="BY127">
        <v>0</v>
      </c>
      <c r="BZ127">
        <v>0</v>
      </c>
    </row>
    <row r="128" spans="1:78">
      <c r="A128" t="s">
        <v>260</v>
      </c>
      <c r="B128" t="s">
        <v>226</v>
      </c>
      <c r="C128" t="s">
        <v>227</v>
      </c>
      <c r="D128" t="s">
        <v>228</v>
      </c>
      <c r="E128">
        <v>6355</v>
      </c>
      <c r="F128" t="s">
        <v>229</v>
      </c>
      <c r="G128">
        <v>1452003</v>
      </c>
      <c r="H128">
        <v>1152090</v>
      </c>
      <c r="I128">
        <v>37100027</v>
      </c>
      <c r="J128">
        <v>426566</v>
      </c>
      <c r="L128" t="s">
        <v>230</v>
      </c>
      <c r="M128" t="s">
        <v>231</v>
      </c>
      <c r="N128" t="s">
        <v>87</v>
      </c>
      <c r="O128" t="s">
        <v>159</v>
      </c>
      <c r="P128" t="s">
        <v>159</v>
      </c>
      <c r="Q128" t="s">
        <v>112</v>
      </c>
      <c r="R128" t="s">
        <v>232</v>
      </c>
      <c r="S128" s="1">
        <v>46358</v>
      </c>
      <c r="T128" s="1">
        <v>46267</v>
      </c>
      <c r="U128">
        <v>8</v>
      </c>
      <c r="V128">
        <v>2</v>
      </c>
      <c r="W128" t="str">
        <f>"3.1"</f>
        <v>3.1</v>
      </c>
      <c r="X128" t="s">
        <v>234</v>
      </c>
      <c r="AA128" t="s">
        <v>94</v>
      </c>
      <c r="AB128" t="s">
        <v>95</v>
      </c>
      <c r="AC128" t="s">
        <v>96</v>
      </c>
      <c r="AD128" t="s">
        <v>95</v>
      </c>
      <c r="AE128" t="s">
        <v>95</v>
      </c>
      <c r="AF128" t="s">
        <v>95</v>
      </c>
      <c r="AN128" t="s">
        <v>95</v>
      </c>
      <c r="AQ128" s="1">
        <v>46267</v>
      </c>
      <c r="AS128">
        <v>5720</v>
      </c>
      <c r="AT128" t="s">
        <v>117</v>
      </c>
      <c r="AU128" t="s">
        <v>164</v>
      </c>
      <c r="AV128">
        <v>49431</v>
      </c>
      <c r="AW128">
        <v>49431</v>
      </c>
      <c r="AX128">
        <v>40416</v>
      </c>
      <c r="AY128">
        <v>0</v>
      </c>
      <c r="AZ128" s="1">
        <v>46357</v>
      </c>
      <c r="BB128">
        <v>494265</v>
      </c>
      <c r="BC128" t="s">
        <v>99</v>
      </c>
      <c r="BD128" t="s">
        <v>233</v>
      </c>
      <c r="BE128" t="s">
        <v>160</v>
      </c>
      <c r="BG128" t="s">
        <v>100</v>
      </c>
      <c r="BH128" t="str">
        <f t="shared" si="5"/>
        <v>720803940</v>
      </c>
      <c r="BI128" t="s">
        <v>101</v>
      </c>
      <c r="BJ128" t="s">
        <v>102</v>
      </c>
      <c r="BK128" t="s">
        <v>102</v>
      </c>
      <c r="BL128">
        <v>810630514</v>
      </c>
      <c r="BM128">
        <v>4897821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815528335</v>
      </c>
      <c r="BT128">
        <v>99.4</v>
      </c>
      <c r="BU128">
        <v>0.6</v>
      </c>
      <c r="BV128">
        <v>0</v>
      </c>
      <c r="BW128">
        <v>0</v>
      </c>
      <c r="BX128">
        <v>0</v>
      </c>
      <c r="BY128">
        <v>0</v>
      </c>
      <c r="BZ128">
        <v>0</v>
      </c>
    </row>
    <row r="129" spans="1:78">
      <c r="A129" t="s">
        <v>260</v>
      </c>
      <c r="B129" t="s">
        <v>226</v>
      </c>
      <c r="C129" t="s">
        <v>227</v>
      </c>
      <c r="D129" t="s">
        <v>228</v>
      </c>
      <c r="E129">
        <v>6355</v>
      </c>
      <c r="F129" t="s">
        <v>229</v>
      </c>
      <c r="G129">
        <v>1452003</v>
      </c>
      <c r="H129">
        <v>1152090</v>
      </c>
      <c r="I129">
        <v>37100027</v>
      </c>
      <c r="J129">
        <v>426566</v>
      </c>
      <c r="L129" t="s">
        <v>230</v>
      </c>
      <c r="M129" t="s">
        <v>231</v>
      </c>
      <c r="N129" t="s">
        <v>87</v>
      </c>
      <c r="O129" t="s">
        <v>159</v>
      </c>
      <c r="P129" t="s">
        <v>159</v>
      </c>
      <c r="Q129" t="s">
        <v>112</v>
      </c>
      <c r="R129" t="s">
        <v>232</v>
      </c>
      <c r="S129" s="1">
        <v>46358</v>
      </c>
      <c r="T129" s="1">
        <v>46267</v>
      </c>
      <c r="U129">
        <v>9</v>
      </c>
      <c r="V129">
        <v>3</v>
      </c>
      <c r="W129" t="str">
        <f>"3.2"</f>
        <v>3.2</v>
      </c>
      <c r="X129" t="s">
        <v>235</v>
      </c>
      <c r="AA129" t="s">
        <v>94</v>
      </c>
      <c r="AB129" t="s">
        <v>95</v>
      </c>
      <c r="AC129" t="s">
        <v>96</v>
      </c>
      <c r="AD129" t="s">
        <v>95</v>
      </c>
      <c r="AE129" t="s">
        <v>95</v>
      </c>
      <c r="AF129" t="s">
        <v>95</v>
      </c>
      <c r="AN129" t="s">
        <v>95</v>
      </c>
      <c r="AQ129" s="1">
        <v>46267</v>
      </c>
      <c r="AS129">
        <v>5720</v>
      </c>
      <c r="AT129" t="s">
        <v>117</v>
      </c>
      <c r="AU129" t="s">
        <v>164</v>
      </c>
      <c r="AV129">
        <v>49431</v>
      </c>
      <c r="AW129">
        <v>49431</v>
      </c>
      <c r="AX129">
        <v>40416</v>
      </c>
      <c r="AY129">
        <v>0</v>
      </c>
      <c r="AZ129" s="1">
        <v>46357</v>
      </c>
      <c r="BB129">
        <v>494265</v>
      </c>
      <c r="BC129" t="s">
        <v>99</v>
      </c>
      <c r="BD129" t="s">
        <v>233</v>
      </c>
      <c r="BE129" t="s">
        <v>160</v>
      </c>
      <c r="BG129" t="s">
        <v>100</v>
      </c>
      <c r="BH129" t="str">
        <f t="shared" si="5"/>
        <v>720803940</v>
      </c>
      <c r="BI129" t="s">
        <v>101</v>
      </c>
      <c r="BJ129" t="s">
        <v>102</v>
      </c>
      <c r="BK129" t="s">
        <v>102</v>
      </c>
      <c r="BL129">
        <v>811179419</v>
      </c>
      <c r="BM129">
        <v>4340007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815519426</v>
      </c>
      <c r="BT129">
        <v>99.47</v>
      </c>
      <c r="BU129">
        <v>0.53</v>
      </c>
      <c r="BV129">
        <v>0</v>
      </c>
      <c r="BW129">
        <v>0</v>
      </c>
      <c r="BX129">
        <v>0</v>
      </c>
      <c r="BY129">
        <v>0</v>
      </c>
      <c r="BZ129">
        <v>0</v>
      </c>
    </row>
    <row r="130" spans="1:78">
      <c r="A130" t="s">
        <v>260</v>
      </c>
      <c r="B130" t="s">
        <v>226</v>
      </c>
      <c r="C130" t="s">
        <v>227</v>
      </c>
      <c r="D130" t="s">
        <v>228</v>
      </c>
      <c r="E130">
        <v>6355</v>
      </c>
      <c r="F130" t="s">
        <v>229</v>
      </c>
      <c r="G130">
        <v>1452003</v>
      </c>
      <c r="H130">
        <v>1152090</v>
      </c>
      <c r="I130">
        <v>37100027</v>
      </c>
      <c r="J130">
        <v>426566</v>
      </c>
      <c r="L130" t="s">
        <v>230</v>
      </c>
      <c r="M130" t="s">
        <v>231</v>
      </c>
      <c r="N130" t="s">
        <v>87</v>
      </c>
      <c r="O130" t="s">
        <v>159</v>
      </c>
      <c r="P130" t="s">
        <v>159</v>
      </c>
      <c r="Q130" t="s">
        <v>112</v>
      </c>
      <c r="R130" t="s">
        <v>232</v>
      </c>
      <c r="S130" s="1">
        <v>46358</v>
      </c>
      <c r="T130" s="1">
        <v>46267</v>
      </c>
      <c r="U130">
        <v>10</v>
      </c>
      <c r="V130">
        <v>4</v>
      </c>
      <c r="W130" t="str">
        <f>"3.3"</f>
        <v>3.3</v>
      </c>
      <c r="X130" t="s">
        <v>236</v>
      </c>
      <c r="AA130" t="s">
        <v>94</v>
      </c>
      <c r="AB130" t="s">
        <v>95</v>
      </c>
      <c r="AC130" t="s">
        <v>96</v>
      </c>
      <c r="AD130" t="s">
        <v>95</v>
      </c>
      <c r="AE130" t="s">
        <v>95</v>
      </c>
      <c r="AF130" t="s">
        <v>95</v>
      </c>
      <c r="AN130" t="s">
        <v>95</v>
      </c>
      <c r="AQ130" s="1">
        <v>46267</v>
      </c>
      <c r="AS130">
        <v>5720</v>
      </c>
      <c r="AT130" t="s">
        <v>117</v>
      </c>
      <c r="AU130" t="s">
        <v>164</v>
      </c>
      <c r="AV130">
        <v>49431</v>
      </c>
      <c r="AW130">
        <v>49431</v>
      </c>
      <c r="AX130">
        <v>40416</v>
      </c>
      <c r="AY130">
        <v>0</v>
      </c>
      <c r="AZ130" s="1">
        <v>46357</v>
      </c>
      <c r="BB130">
        <v>494265</v>
      </c>
      <c r="BC130" t="s">
        <v>99</v>
      </c>
      <c r="BD130" t="s">
        <v>233</v>
      </c>
      <c r="BE130" t="s">
        <v>160</v>
      </c>
      <c r="BG130" t="s">
        <v>100</v>
      </c>
      <c r="BH130" t="str">
        <f t="shared" si="5"/>
        <v>720803940</v>
      </c>
      <c r="BI130" t="s">
        <v>101</v>
      </c>
      <c r="BJ130" t="s">
        <v>102</v>
      </c>
      <c r="BK130" t="s">
        <v>102</v>
      </c>
      <c r="BL130">
        <v>811217281</v>
      </c>
      <c r="BM130">
        <v>4313948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815531229</v>
      </c>
      <c r="BT130">
        <v>99.47</v>
      </c>
      <c r="BU130">
        <v>0.53</v>
      </c>
      <c r="BV130">
        <v>0</v>
      </c>
      <c r="BW130">
        <v>0</v>
      </c>
      <c r="BX130">
        <v>0</v>
      </c>
      <c r="BY130">
        <v>0</v>
      </c>
      <c r="BZ130">
        <v>0</v>
      </c>
    </row>
    <row r="131" spans="1:78">
      <c r="A131" t="s">
        <v>260</v>
      </c>
      <c r="B131" t="s">
        <v>226</v>
      </c>
      <c r="C131" t="s">
        <v>227</v>
      </c>
      <c r="D131" t="s">
        <v>228</v>
      </c>
      <c r="E131">
        <v>6355</v>
      </c>
      <c r="F131" t="s">
        <v>229</v>
      </c>
      <c r="G131">
        <v>1452003</v>
      </c>
      <c r="H131">
        <v>1152090</v>
      </c>
      <c r="I131">
        <v>37100027</v>
      </c>
      <c r="J131">
        <v>426566</v>
      </c>
      <c r="L131" t="s">
        <v>230</v>
      </c>
      <c r="M131" t="s">
        <v>231</v>
      </c>
      <c r="N131" t="s">
        <v>87</v>
      </c>
      <c r="O131" t="s">
        <v>159</v>
      </c>
      <c r="P131" t="s">
        <v>159</v>
      </c>
      <c r="Q131" t="s">
        <v>112</v>
      </c>
      <c r="R131" t="s">
        <v>232</v>
      </c>
      <c r="S131" s="1">
        <v>46358</v>
      </c>
      <c r="T131" s="1">
        <v>46267</v>
      </c>
      <c r="U131">
        <v>11</v>
      </c>
      <c r="V131">
        <v>5</v>
      </c>
      <c r="W131" t="str">
        <f>"3.4"</f>
        <v>3.4</v>
      </c>
      <c r="X131" t="s">
        <v>237</v>
      </c>
      <c r="AA131" t="s">
        <v>94</v>
      </c>
      <c r="AB131" t="s">
        <v>95</v>
      </c>
      <c r="AC131" t="s">
        <v>96</v>
      </c>
      <c r="AD131" t="s">
        <v>95</v>
      </c>
      <c r="AE131" t="s">
        <v>95</v>
      </c>
      <c r="AF131" t="s">
        <v>95</v>
      </c>
      <c r="AN131" t="s">
        <v>95</v>
      </c>
      <c r="AQ131" s="1">
        <v>46267</v>
      </c>
      <c r="AS131">
        <v>5720</v>
      </c>
      <c r="AT131" t="s">
        <v>117</v>
      </c>
      <c r="AU131" t="s">
        <v>164</v>
      </c>
      <c r="AV131">
        <v>49431</v>
      </c>
      <c r="AW131">
        <v>49431</v>
      </c>
      <c r="AX131">
        <v>40416</v>
      </c>
      <c r="AY131">
        <v>0</v>
      </c>
      <c r="AZ131" s="1">
        <v>46357</v>
      </c>
      <c r="BB131">
        <v>494265</v>
      </c>
      <c r="BC131" t="s">
        <v>99</v>
      </c>
      <c r="BD131" t="s">
        <v>233</v>
      </c>
      <c r="BE131" t="s">
        <v>160</v>
      </c>
      <c r="BG131" t="s">
        <v>100</v>
      </c>
      <c r="BH131" t="str">
        <f t="shared" ref="BH131:BH162" si="6">"720803940"</f>
        <v>720803940</v>
      </c>
      <c r="BI131" t="s">
        <v>101</v>
      </c>
      <c r="BJ131" t="s">
        <v>102</v>
      </c>
      <c r="BK131" t="s">
        <v>102</v>
      </c>
      <c r="BL131">
        <v>811200022</v>
      </c>
      <c r="BM131">
        <v>4326933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815526955</v>
      </c>
      <c r="BT131">
        <v>99.47</v>
      </c>
      <c r="BU131">
        <v>0.53</v>
      </c>
      <c r="BV131">
        <v>0</v>
      </c>
      <c r="BW131">
        <v>0</v>
      </c>
      <c r="BX131">
        <v>0</v>
      </c>
      <c r="BY131">
        <v>0</v>
      </c>
      <c r="BZ131">
        <v>0</v>
      </c>
    </row>
    <row r="132" spans="1:78">
      <c r="A132" t="s">
        <v>260</v>
      </c>
      <c r="B132" t="s">
        <v>226</v>
      </c>
      <c r="C132" t="s">
        <v>227</v>
      </c>
      <c r="D132" t="s">
        <v>228</v>
      </c>
      <c r="E132">
        <v>6355</v>
      </c>
      <c r="F132" t="s">
        <v>229</v>
      </c>
      <c r="G132">
        <v>1452003</v>
      </c>
      <c r="H132">
        <v>1152090</v>
      </c>
      <c r="I132">
        <v>37100027</v>
      </c>
      <c r="J132">
        <v>426566</v>
      </c>
      <c r="L132" t="s">
        <v>230</v>
      </c>
      <c r="M132" t="s">
        <v>231</v>
      </c>
      <c r="N132" t="s">
        <v>87</v>
      </c>
      <c r="O132" t="s">
        <v>159</v>
      </c>
      <c r="P132" t="s">
        <v>159</v>
      </c>
      <c r="Q132" t="s">
        <v>112</v>
      </c>
      <c r="R132" t="s">
        <v>232</v>
      </c>
      <c r="S132" s="1">
        <v>46358</v>
      </c>
      <c r="T132" s="1">
        <v>46267</v>
      </c>
      <c r="U132">
        <v>12</v>
      </c>
      <c r="V132">
        <v>6</v>
      </c>
      <c r="W132" t="str">
        <f>"3.5"</f>
        <v>3.5</v>
      </c>
      <c r="X132" t="s">
        <v>238</v>
      </c>
      <c r="AA132" t="s">
        <v>94</v>
      </c>
      <c r="AB132" t="s">
        <v>95</v>
      </c>
      <c r="AC132" t="s">
        <v>96</v>
      </c>
      <c r="AD132" t="s">
        <v>95</v>
      </c>
      <c r="AE132" t="s">
        <v>95</v>
      </c>
      <c r="AF132" t="s">
        <v>95</v>
      </c>
      <c r="AN132" t="s">
        <v>95</v>
      </c>
      <c r="AQ132" s="1">
        <v>46267</v>
      </c>
      <c r="AS132">
        <v>5720</v>
      </c>
      <c r="AT132" t="s">
        <v>117</v>
      </c>
      <c r="AU132" t="s">
        <v>164</v>
      </c>
      <c r="AV132">
        <v>49431</v>
      </c>
      <c r="AW132">
        <v>49431</v>
      </c>
      <c r="AX132">
        <v>40416</v>
      </c>
      <c r="AY132">
        <v>0</v>
      </c>
      <c r="AZ132" s="1">
        <v>46357</v>
      </c>
      <c r="BB132">
        <v>494265</v>
      </c>
      <c r="BC132" t="s">
        <v>99</v>
      </c>
      <c r="BD132" t="s">
        <v>233</v>
      </c>
      <c r="BE132" t="s">
        <v>160</v>
      </c>
      <c r="BG132" t="s">
        <v>100</v>
      </c>
      <c r="BH132" t="str">
        <f t="shared" si="6"/>
        <v>720803940</v>
      </c>
      <c r="BI132" t="s">
        <v>101</v>
      </c>
      <c r="BJ132" t="s">
        <v>102</v>
      </c>
      <c r="BK132" t="s">
        <v>102</v>
      </c>
      <c r="BL132">
        <v>811197608</v>
      </c>
      <c r="BM132">
        <v>4326631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815524239</v>
      </c>
      <c r="BT132">
        <v>99.47</v>
      </c>
      <c r="BU132">
        <v>0.53</v>
      </c>
      <c r="BV132">
        <v>0</v>
      </c>
      <c r="BW132">
        <v>0</v>
      </c>
      <c r="BX132">
        <v>0</v>
      </c>
      <c r="BY132">
        <v>0</v>
      </c>
      <c r="BZ132">
        <v>0</v>
      </c>
    </row>
    <row r="133" spans="1:78">
      <c r="A133" t="s">
        <v>260</v>
      </c>
      <c r="B133" t="s">
        <v>226</v>
      </c>
      <c r="C133" t="s">
        <v>227</v>
      </c>
      <c r="D133" t="s">
        <v>228</v>
      </c>
      <c r="E133">
        <v>6355</v>
      </c>
      <c r="F133" t="s">
        <v>229</v>
      </c>
      <c r="G133">
        <v>1452003</v>
      </c>
      <c r="H133">
        <v>1152090</v>
      </c>
      <c r="I133">
        <v>37100027</v>
      </c>
      <c r="J133">
        <v>426566</v>
      </c>
      <c r="L133" t="s">
        <v>230</v>
      </c>
      <c r="M133" t="s">
        <v>231</v>
      </c>
      <c r="N133" t="s">
        <v>87</v>
      </c>
      <c r="O133" t="s">
        <v>159</v>
      </c>
      <c r="P133" t="s">
        <v>159</v>
      </c>
      <c r="Q133" t="s">
        <v>112</v>
      </c>
      <c r="R133" t="s">
        <v>232</v>
      </c>
      <c r="S133" s="1">
        <v>46358</v>
      </c>
      <c r="T133" s="1">
        <v>46267</v>
      </c>
      <c r="U133">
        <v>13</v>
      </c>
      <c r="V133">
        <v>7</v>
      </c>
      <c r="W133" t="str">
        <f>"4.1"</f>
        <v>4.1</v>
      </c>
      <c r="X133" t="s">
        <v>239</v>
      </c>
      <c r="AA133" t="s">
        <v>94</v>
      </c>
      <c r="AB133" t="s">
        <v>95</v>
      </c>
      <c r="AC133" t="s">
        <v>96</v>
      </c>
      <c r="AD133" t="s">
        <v>95</v>
      </c>
      <c r="AE133" t="s">
        <v>95</v>
      </c>
      <c r="AF133" t="s">
        <v>123</v>
      </c>
      <c r="AN133" t="s">
        <v>123</v>
      </c>
      <c r="AO133" t="str">
        <f>"Herbert Diess serves as the Chair of the Nominations Committee, and the Company allows director elections every 3–4 years. We believe this should be at least every 2 years, ideally annually. "</f>
        <v xml:space="preserve">Herbert Diess serves as the Chair of the Nominations Committee, and the Company allows director elections every 3–4 years. We believe this should be at least every 2 years, ideally annually. </v>
      </c>
      <c r="AQ133" s="1">
        <v>46267</v>
      </c>
      <c r="AS133">
        <v>5700</v>
      </c>
      <c r="AT133" t="s">
        <v>117</v>
      </c>
      <c r="AU133" t="s">
        <v>169</v>
      </c>
      <c r="AV133">
        <v>49431</v>
      </c>
      <c r="AW133">
        <v>49431</v>
      </c>
      <c r="AX133">
        <v>40416</v>
      </c>
      <c r="AY133">
        <v>0</v>
      </c>
      <c r="AZ133" s="1">
        <v>46357</v>
      </c>
      <c r="BB133">
        <v>494265</v>
      </c>
      <c r="BC133" t="s">
        <v>99</v>
      </c>
      <c r="BD133" t="s">
        <v>233</v>
      </c>
      <c r="BE133" t="s">
        <v>160</v>
      </c>
      <c r="BG133" t="s">
        <v>100</v>
      </c>
      <c r="BH133" t="str">
        <f t="shared" si="6"/>
        <v>720803940</v>
      </c>
      <c r="BI133" t="s">
        <v>101</v>
      </c>
      <c r="BJ133" t="s">
        <v>123</v>
      </c>
      <c r="BK133" t="s">
        <v>123</v>
      </c>
      <c r="BL133">
        <v>806127384</v>
      </c>
      <c r="BM133">
        <v>5467528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811594912</v>
      </c>
      <c r="BT133">
        <v>99.33</v>
      </c>
      <c r="BU133">
        <v>0.67</v>
      </c>
      <c r="BV133">
        <v>0</v>
      </c>
      <c r="BW133">
        <v>0</v>
      </c>
      <c r="BX133">
        <v>0</v>
      </c>
      <c r="BY133">
        <v>0</v>
      </c>
      <c r="BZ133">
        <v>0</v>
      </c>
    </row>
    <row r="134" spans="1:78">
      <c r="A134" t="s">
        <v>260</v>
      </c>
      <c r="B134" t="s">
        <v>226</v>
      </c>
      <c r="C134" t="s">
        <v>227</v>
      </c>
      <c r="D134" t="s">
        <v>228</v>
      </c>
      <c r="E134">
        <v>6355</v>
      </c>
      <c r="F134" t="s">
        <v>229</v>
      </c>
      <c r="G134">
        <v>1452003</v>
      </c>
      <c r="H134">
        <v>1152090</v>
      </c>
      <c r="I134">
        <v>37100027</v>
      </c>
      <c r="J134">
        <v>426566</v>
      </c>
      <c r="L134" t="s">
        <v>230</v>
      </c>
      <c r="M134" t="s">
        <v>231</v>
      </c>
      <c r="N134" t="s">
        <v>87</v>
      </c>
      <c r="O134" t="s">
        <v>159</v>
      </c>
      <c r="P134" t="s">
        <v>159</v>
      </c>
      <c r="Q134" t="s">
        <v>112</v>
      </c>
      <c r="R134" t="s">
        <v>232</v>
      </c>
      <c r="S134" s="1">
        <v>46358</v>
      </c>
      <c r="T134" s="1">
        <v>46267</v>
      </c>
      <c r="U134">
        <v>14</v>
      </c>
      <c r="V134">
        <v>8</v>
      </c>
      <c r="W134" t="str">
        <f>"4.2"</f>
        <v>4.2</v>
      </c>
      <c r="X134" t="s">
        <v>240</v>
      </c>
      <c r="AA134" t="s">
        <v>94</v>
      </c>
      <c r="AB134" t="s">
        <v>95</v>
      </c>
      <c r="AC134" t="s">
        <v>96</v>
      </c>
      <c r="AD134" t="s">
        <v>95</v>
      </c>
      <c r="AE134" t="s">
        <v>95</v>
      </c>
      <c r="AF134" t="s">
        <v>95</v>
      </c>
      <c r="AN134" t="s">
        <v>95</v>
      </c>
      <c r="AQ134" s="1">
        <v>46267</v>
      </c>
      <c r="AS134">
        <v>5700</v>
      </c>
      <c r="AT134" t="s">
        <v>117</v>
      </c>
      <c r="AU134" t="s">
        <v>169</v>
      </c>
      <c r="AV134">
        <v>49431</v>
      </c>
      <c r="AW134">
        <v>49431</v>
      </c>
      <c r="AX134">
        <v>40416</v>
      </c>
      <c r="AY134">
        <v>0</v>
      </c>
      <c r="AZ134" s="1">
        <v>46357</v>
      </c>
      <c r="BB134">
        <v>494265</v>
      </c>
      <c r="BC134" t="s">
        <v>99</v>
      </c>
      <c r="BD134" t="s">
        <v>233</v>
      </c>
      <c r="BE134" t="s">
        <v>160</v>
      </c>
      <c r="BG134" t="s">
        <v>100</v>
      </c>
      <c r="BH134" t="str">
        <f t="shared" si="6"/>
        <v>720803940</v>
      </c>
      <c r="BI134" t="s">
        <v>101</v>
      </c>
      <c r="BJ134" t="s">
        <v>102</v>
      </c>
      <c r="BK134" t="s">
        <v>102</v>
      </c>
      <c r="BL134">
        <v>811099989</v>
      </c>
      <c r="BM134">
        <v>4375879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815475868</v>
      </c>
      <c r="BT134">
        <v>99.46</v>
      </c>
      <c r="BU134">
        <v>0.54</v>
      </c>
      <c r="BV134">
        <v>0</v>
      </c>
      <c r="BW134">
        <v>0</v>
      </c>
      <c r="BX134">
        <v>0</v>
      </c>
      <c r="BY134">
        <v>0</v>
      </c>
      <c r="BZ134">
        <v>0</v>
      </c>
    </row>
    <row r="135" spans="1:78">
      <c r="A135" t="s">
        <v>260</v>
      </c>
      <c r="B135" t="s">
        <v>226</v>
      </c>
      <c r="C135" t="s">
        <v>227</v>
      </c>
      <c r="D135" t="s">
        <v>228</v>
      </c>
      <c r="E135">
        <v>6355</v>
      </c>
      <c r="F135" t="s">
        <v>229</v>
      </c>
      <c r="G135">
        <v>1452003</v>
      </c>
      <c r="H135">
        <v>1152090</v>
      </c>
      <c r="I135">
        <v>37100027</v>
      </c>
      <c r="J135">
        <v>426566</v>
      </c>
      <c r="L135" t="s">
        <v>230</v>
      </c>
      <c r="M135" t="s">
        <v>231</v>
      </c>
      <c r="N135" t="s">
        <v>87</v>
      </c>
      <c r="O135" t="s">
        <v>159</v>
      </c>
      <c r="P135" t="s">
        <v>159</v>
      </c>
      <c r="Q135" t="s">
        <v>112</v>
      </c>
      <c r="R135" t="s">
        <v>232</v>
      </c>
      <c r="S135" s="1">
        <v>46358</v>
      </c>
      <c r="T135" s="1">
        <v>46267</v>
      </c>
      <c r="U135">
        <v>15</v>
      </c>
      <c r="V135">
        <v>9</v>
      </c>
      <c r="W135" t="str">
        <f>"4.3"</f>
        <v>4.3</v>
      </c>
      <c r="X135" t="s">
        <v>241</v>
      </c>
      <c r="AA135" t="s">
        <v>94</v>
      </c>
      <c r="AB135" t="s">
        <v>95</v>
      </c>
      <c r="AC135" t="s">
        <v>96</v>
      </c>
      <c r="AD135" t="s">
        <v>95</v>
      </c>
      <c r="AE135" t="s">
        <v>95</v>
      </c>
      <c r="AF135" t="s">
        <v>95</v>
      </c>
      <c r="AN135" t="s">
        <v>95</v>
      </c>
      <c r="AQ135" s="1">
        <v>46267</v>
      </c>
      <c r="AS135">
        <v>5700</v>
      </c>
      <c r="AT135" t="s">
        <v>117</v>
      </c>
      <c r="AU135" t="s">
        <v>169</v>
      </c>
      <c r="AV135">
        <v>49431</v>
      </c>
      <c r="AW135">
        <v>49431</v>
      </c>
      <c r="AX135">
        <v>40416</v>
      </c>
      <c r="AY135">
        <v>0</v>
      </c>
      <c r="AZ135" s="1">
        <v>46357</v>
      </c>
      <c r="BB135">
        <v>494265</v>
      </c>
      <c r="BC135" t="s">
        <v>99</v>
      </c>
      <c r="BD135" t="s">
        <v>233</v>
      </c>
      <c r="BE135" t="s">
        <v>160</v>
      </c>
      <c r="BG135" t="s">
        <v>100</v>
      </c>
      <c r="BH135" t="str">
        <f t="shared" si="6"/>
        <v>720803940</v>
      </c>
      <c r="BI135" t="s">
        <v>101</v>
      </c>
      <c r="BJ135" t="s">
        <v>102</v>
      </c>
      <c r="BK135" t="s">
        <v>102</v>
      </c>
      <c r="BL135">
        <v>811174522</v>
      </c>
      <c r="BM135">
        <v>4322464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815496986</v>
      </c>
      <c r="BT135">
        <v>99.47</v>
      </c>
      <c r="BU135">
        <v>0.53</v>
      </c>
      <c r="BV135">
        <v>0</v>
      </c>
      <c r="BW135">
        <v>0</v>
      </c>
      <c r="BX135">
        <v>0</v>
      </c>
      <c r="BY135">
        <v>0</v>
      </c>
      <c r="BZ135">
        <v>0</v>
      </c>
    </row>
    <row r="136" spans="1:78">
      <c r="A136" t="s">
        <v>260</v>
      </c>
      <c r="B136" t="s">
        <v>226</v>
      </c>
      <c r="C136" t="s">
        <v>227</v>
      </c>
      <c r="D136" t="s">
        <v>228</v>
      </c>
      <c r="E136">
        <v>6355</v>
      </c>
      <c r="F136" t="s">
        <v>229</v>
      </c>
      <c r="G136">
        <v>1452003</v>
      </c>
      <c r="H136">
        <v>1152090</v>
      </c>
      <c r="I136">
        <v>37100027</v>
      </c>
      <c r="J136">
        <v>426566</v>
      </c>
      <c r="L136" t="s">
        <v>230</v>
      </c>
      <c r="M136" t="s">
        <v>231</v>
      </c>
      <c r="N136" t="s">
        <v>87</v>
      </c>
      <c r="O136" t="s">
        <v>159</v>
      </c>
      <c r="P136" t="s">
        <v>159</v>
      </c>
      <c r="Q136" t="s">
        <v>112</v>
      </c>
      <c r="R136" t="s">
        <v>232</v>
      </c>
      <c r="S136" s="1">
        <v>46358</v>
      </c>
      <c r="T136" s="1">
        <v>46267</v>
      </c>
      <c r="U136">
        <v>16</v>
      </c>
      <c r="V136">
        <v>10</v>
      </c>
      <c r="W136" t="str">
        <f>"4.4"</f>
        <v>4.4</v>
      </c>
      <c r="X136" t="s">
        <v>242</v>
      </c>
      <c r="AA136" t="s">
        <v>94</v>
      </c>
      <c r="AB136" t="s">
        <v>95</v>
      </c>
      <c r="AC136" t="s">
        <v>96</v>
      </c>
      <c r="AD136" t="s">
        <v>95</v>
      </c>
      <c r="AE136" t="s">
        <v>95</v>
      </c>
      <c r="AF136" t="s">
        <v>95</v>
      </c>
      <c r="AN136" t="s">
        <v>95</v>
      </c>
      <c r="AQ136" s="1">
        <v>46267</v>
      </c>
      <c r="AS136">
        <v>5700</v>
      </c>
      <c r="AT136" t="s">
        <v>117</v>
      </c>
      <c r="AU136" t="s">
        <v>169</v>
      </c>
      <c r="AV136">
        <v>49431</v>
      </c>
      <c r="AW136">
        <v>49431</v>
      </c>
      <c r="AX136">
        <v>40416</v>
      </c>
      <c r="AY136">
        <v>0</v>
      </c>
      <c r="AZ136" s="1">
        <v>46357</v>
      </c>
      <c r="BB136">
        <v>494265</v>
      </c>
      <c r="BC136" t="s">
        <v>99</v>
      </c>
      <c r="BD136" t="s">
        <v>233</v>
      </c>
      <c r="BE136" t="s">
        <v>160</v>
      </c>
      <c r="BG136" t="s">
        <v>100</v>
      </c>
      <c r="BH136" t="str">
        <f t="shared" si="6"/>
        <v>720803940</v>
      </c>
      <c r="BI136" t="s">
        <v>101</v>
      </c>
      <c r="BJ136" t="s">
        <v>102</v>
      </c>
      <c r="BK136" t="s">
        <v>102</v>
      </c>
      <c r="BL136">
        <v>807350500</v>
      </c>
      <c r="BM136">
        <v>4558283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811908783</v>
      </c>
      <c r="BT136">
        <v>99.44</v>
      </c>
      <c r="BU136">
        <v>0.56000000000000005</v>
      </c>
      <c r="BV136">
        <v>0</v>
      </c>
      <c r="BW136">
        <v>0</v>
      </c>
      <c r="BX136">
        <v>0</v>
      </c>
      <c r="BY136">
        <v>0</v>
      </c>
      <c r="BZ136">
        <v>0</v>
      </c>
    </row>
    <row r="137" spans="1:78">
      <c r="A137" t="s">
        <v>260</v>
      </c>
      <c r="B137" t="s">
        <v>226</v>
      </c>
      <c r="C137" t="s">
        <v>227</v>
      </c>
      <c r="D137" t="s">
        <v>228</v>
      </c>
      <c r="E137">
        <v>6355</v>
      </c>
      <c r="F137" t="s">
        <v>229</v>
      </c>
      <c r="G137">
        <v>1452003</v>
      </c>
      <c r="H137">
        <v>1152090</v>
      </c>
      <c r="I137">
        <v>37100027</v>
      </c>
      <c r="J137">
        <v>426566</v>
      </c>
      <c r="L137" t="s">
        <v>230</v>
      </c>
      <c r="M137" t="s">
        <v>231</v>
      </c>
      <c r="N137" t="s">
        <v>87</v>
      </c>
      <c r="O137" t="s">
        <v>159</v>
      </c>
      <c r="P137" t="s">
        <v>159</v>
      </c>
      <c r="Q137" t="s">
        <v>112</v>
      </c>
      <c r="R137" t="s">
        <v>232</v>
      </c>
      <c r="S137" s="1">
        <v>46358</v>
      </c>
      <c r="T137" s="1">
        <v>46267</v>
      </c>
      <c r="U137">
        <v>17</v>
      </c>
      <c r="V137">
        <v>11</v>
      </c>
      <c r="W137" t="str">
        <f>"4.5"</f>
        <v>4.5</v>
      </c>
      <c r="X137" t="s">
        <v>243</v>
      </c>
      <c r="AA137" t="s">
        <v>94</v>
      </c>
      <c r="AB137" t="s">
        <v>95</v>
      </c>
      <c r="AC137" t="s">
        <v>96</v>
      </c>
      <c r="AD137" t="s">
        <v>95</v>
      </c>
      <c r="AE137" t="s">
        <v>95</v>
      </c>
      <c r="AF137" t="s">
        <v>95</v>
      </c>
      <c r="AN137" t="s">
        <v>95</v>
      </c>
      <c r="AQ137" s="1">
        <v>46267</v>
      </c>
      <c r="AS137">
        <v>5700</v>
      </c>
      <c r="AT137" t="s">
        <v>117</v>
      </c>
      <c r="AU137" t="s">
        <v>169</v>
      </c>
      <c r="AV137">
        <v>49431</v>
      </c>
      <c r="AW137">
        <v>49431</v>
      </c>
      <c r="AX137">
        <v>40416</v>
      </c>
      <c r="AY137">
        <v>0</v>
      </c>
      <c r="AZ137" s="1">
        <v>46357</v>
      </c>
      <c r="BB137">
        <v>494265</v>
      </c>
      <c r="BC137" t="s">
        <v>99</v>
      </c>
      <c r="BD137" t="s">
        <v>233</v>
      </c>
      <c r="BE137" t="s">
        <v>160</v>
      </c>
      <c r="BG137" t="s">
        <v>100</v>
      </c>
      <c r="BH137" t="str">
        <f t="shared" si="6"/>
        <v>720803940</v>
      </c>
      <c r="BI137" t="s">
        <v>101</v>
      </c>
      <c r="BJ137" t="s">
        <v>102</v>
      </c>
      <c r="BK137" t="s">
        <v>102</v>
      </c>
      <c r="BL137">
        <v>811154089</v>
      </c>
      <c r="BM137">
        <v>4334497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815488586</v>
      </c>
      <c r="BT137">
        <v>99.47</v>
      </c>
      <c r="BU137">
        <v>0.53</v>
      </c>
      <c r="BV137">
        <v>0</v>
      </c>
      <c r="BW137">
        <v>0</v>
      </c>
      <c r="BX137">
        <v>0</v>
      </c>
      <c r="BY137">
        <v>0</v>
      </c>
      <c r="BZ137">
        <v>0</v>
      </c>
    </row>
    <row r="138" spans="1:78">
      <c r="A138" t="s">
        <v>260</v>
      </c>
      <c r="B138" t="s">
        <v>226</v>
      </c>
      <c r="C138" t="s">
        <v>227</v>
      </c>
      <c r="D138" t="s">
        <v>228</v>
      </c>
      <c r="E138">
        <v>6355</v>
      </c>
      <c r="F138" t="s">
        <v>229</v>
      </c>
      <c r="G138">
        <v>1452003</v>
      </c>
      <c r="H138">
        <v>1152090</v>
      </c>
      <c r="I138">
        <v>37100027</v>
      </c>
      <c r="J138">
        <v>426566</v>
      </c>
      <c r="L138" t="s">
        <v>230</v>
      </c>
      <c r="M138" t="s">
        <v>231</v>
      </c>
      <c r="N138" t="s">
        <v>87</v>
      </c>
      <c r="O138" t="s">
        <v>159</v>
      </c>
      <c r="P138" t="s">
        <v>159</v>
      </c>
      <c r="Q138" t="s">
        <v>112</v>
      </c>
      <c r="R138" t="s">
        <v>232</v>
      </c>
      <c r="S138" s="1">
        <v>46358</v>
      </c>
      <c r="T138" s="1">
        <v>46267</v>
      </c>
      <c r="U138">
        <v>18</v>
      </c>
      <c r="V138">
        <v>12</v>
      </c>
      <c r="W138" t="str">
        <f>"4.6"</f>
        <v>4.6</v>
      </c>
      <c r="X138" t="s">
        <v>244</v>
      </c>
      <c r="AA138" t="s">
        <v>94</v>
      </c>
      <c r="AB138" t="s">
        <v>95</v>
      </c>
      <c r="AC138" t="s">
        <v>96</v>
      </c>
      <c r="AD138" t="s">
        <v>95</v>
      </c>
      <c r="AE138" t="s">
        <v>95</v>
      </c>
      <c r="AF138" t="s">
        <v>95</v>
      </c>
      <c r="AN138" t="s">
        <v>95</v>
      </c>
      <c r="AQ138" s="1">
        <v>46267</v>
      </c>
      <c r="AS138">
        <v>5700</v>
      </c>
      <c r="AT138" t="s">
        <v>117</v>
      </c>
      <c r="AU138" t="s">
        <v>169</v>
      </c>
      <c r="AV138">
        <v>49431</v>
      </c>
      <c r="AW138">
        <v>49431</v>
      </c>
      <c r="AX138">
        <v>40416</v>
      </c>
      <c r="AY138">
        <v>0</v>
      </c>
      <c r="AZ138" s="1">
        <v>46357</v>
      </c>
      <c r="BB138">
        <v>494265</v>
      </c>
      <c r="BC138" t="s">
        <v>99</v>
      </c>
      <c r="BD138" t="s">
        <v>233</v>
      </c>
      <c r="BE138" t="s">
        <v>160</v>
      </c>
      <c r="BG138" t="s">
        <v>100</v>
      </c>
      <c r="BH138" t="str">
        <f t="shared" si="6"/>
        <v>720803940</v>
      </c>
      <c r="BI138" t="s">
        <v>101</v>
      </c>
      <c r="BJ138" t="s">
        <v>102</v>
      </c>
      <c r="BK138" t="s">
        <v>102</v>
      </c>
      <c r="BL138">
        <v>811153755</v>
      </c>
      <c r="BM138">
        <v>4346253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815500008</v>
      </c>
      <c r="BT138">
        <v>99.47</v>
      </c>
      <c r="BU138">
        <v>0.53</v>
      </c>
      <c r="BV138">
        <v>0</v>
      </c>
      <c r="BW138">
        <v>0</v>
      </c>
      <c r="BX138">
        <v>0</v>
      </c>
      <c r="BY138">
        <v>0</v>
      </c>
      <c r="BZ138">
        <v>0</v>
      </c>
    </row>
    <row r="139" spans="1:78">
      <c r="A139" t="s">
        <v>260</v>
      </c>
      <c r="B139" t="s">
        <v>226</v>
      </c>
      <c r="C139" t="s">
        <v>227</v>
      </c>
      <c r="D139" t="s">
        <v>228</v>
      </c>
      <c r="E139">
        <v>6355</v>
      </c>
      <c r="F139" t="s">
        <v>229</v>
      </c>
      <c r="G139">
        <v>1452003</v>
      </c>
      <c r="H139">
        <v>1152090</v>
      </c>
      <c r="I139">
        <v>37100027</v>
      </c>
      <c r="J139">
        <v>426566</v>
      </c>
      <c r="L139" t="s">
        <v>230</v>
      </c>
      <c r="M139" t="s">
        <v>231</v>
      </c>
      <c r="N139" t="s">
        <v>87</v>
      </c>
      <c r="O139" t="s">
        <v>159</v>
      </c>
      <c r="P139" t="s">
        <v>159</v>
      </c>
      <c r="Q139" t="s">
        <v>112</v>
      </c>
      <c r="R139" t="s">
        <v>232</v>
      </c>
      <c r="S139" s="1">
        <v>46358</v>
      </c>
      <c r="T139" s="1">
        <v>46267</v>
      </c>
      <c r="U139">
        <v>19</v>
      </c>
      <c r="V139">
        <v>13</v>
      </c>
      <c r="W139" t="str">
        <f>"4.7"</f>
        <v>4.7</v>
      </c>
      <c r="X139" t="s">
        <v>245</v>
      </c>
      <c r="AA139" t="s">
        <v>94</v>
      </c>
      <c r="AB139" t="s">
        <v>95</v>
      </c>
      <c r="AC139" t="s">
        <v>96</v>
      </c>
      <c r="AD139" t="s">
        <v>95</v>
      </c>
      <c r="AE139" t="s">
        <v>95</v>
      </c>
      <c r="AF139" t="s">
        <v>95</v>
      </c>
      <c r="AN139" t="s">
        <v>95</v>
      </c>
      <c r="AQ139" s="1">
        <v>46267</v>
      </c>
      <c r="AS139">
        <v>5700</v>
      </c>
      <c r="AT139" t="s">
        <v>117</v>
      </c>
      <c r="AU139" t="s">
        <v>169</v>
      </c>
      <c r="AV139">
        <v>49431</v>
      </c>
      <c r="AW139">
        <v>49431</v>
      </c>
      <c r="AX139">
        <v>40416</v>
      </c>
      <c r="AY139">
        <v>0</v>
      </c>
      <c r="AZ139" s="1">
        <v>46357</v>
      </c>
      <c r="BB139">
        <v>494265</v>
      </c>
      <c r="BC139" t="s">
        <v>99</v>
      </c>
      <c r="BD139" t="s">
        <v>233</v>
      </c>
      <c r="BE139" t="s">
        <v>160</v>
      </c>
      <c r="BG139" t="s">
        <v>100</v>
      </c>
      <c r="BH139" t="str">
        <f t="shared" si="6"/>
        <v>720803940</v>
      </c>
      <c r="BI139" t="s">
        <v>101</v>
      </c>
      <c r="BJ139" t="s">
        <v>102</v>
      </c>
      <c r="BK139" t="s">
        <v>102</v>
      </c>
      <c r="BL139">
        <v>811193133</v>
      </c>
      <c r="BM139">
        <v>4321855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815514988</v>
      </c>
      <c r="BT139">
        <v>99.47</v>
      </c>
      <c r="BU139">
        <v>0.53</v>
      </c>
      <c r="BV139">
        <v>0</v>
      </c>
      <c r="BW139">
        <v>0</v>
      </c>
      <c r="BX139">
        <v>0</v>
      </c>
      <c r="BY139">
        <v>0</v>
      </c>
      <c r="BZ139">
        <v>0</v>
      </c>
    </row>
    <row r="140" spans="1:78">
      <c r="A140" t="s">
        <v>260</v>
      </c>
      <c r="B140" t="s">
        <v>226</v>
      </c>
      <c r="C140" t="s">
        <v>227</v>
      </c>
      <c r="D140" t="s">
        <v>228</v>
      </c>
      <c r="E140">
        <v>6355</v>
      </c>
      <c r="F140" t="s">
        <v>229</v>
      </c>
      <c r="G140">
        <v>1452003</v>
      </c>
      <c r="H140">
        <v>1152090</v>
      </c>
      <c r="I140">
        <v>37100027</v>
      </c>
      <c r="J140">
        <v>426566</v>
      </c>
      <c r="L140" t="s">
        <v>230</v>
      </c>
      <c r="M140" t="s">
        <v>231</v>
      </c>
      <c r="N140" t="s">
        <v>87</v>
      </c>
      <c r="O140" t="s">
        <v>159</v>
      </c>
      <c r="P140" t="s">
        <v>159</v>
      </c>
      <c r="Q140" t="s">
        <v>112</v>
      </c>
      <c r="R140" t="s">
        <v>232</v>
      </c>
      <c r="S140" s="1">
        <v>46358</v>
      </c>
      <c r="T140" s="1">
        <v>46267</v>
      </c>
      <c r="U140">
        <v>20</v>
      </c>
      <c r="V140">
        <v>14</v>
      </c>
      <c r="W140" t="str">
        <f>"4.8"</f>
        <v>4.8</v>
      </c>
      <c r="X140" t="s">
        <v>246</v>
      </c>
      <c r="AA140" t="s">
        <v>94</v>
      </c>
      <c r="AB140" t="s">
        <v>95</v>
      </c>
      <c r="AC140" t="s">
        <v>96</v>
      </c>
      <c r="AD140" t="s">
        <v>95</v>
      </c>
      <c r="AE140" t="s">
        <v>95</v>
      </c>
      <c r="AF140" t="s">
        <v>95</v>
      </c>
      <c r="AN140" t="s">
        <v>95</v>
      </c>
      <c r="AQ140" s="1">
        <v>46267</v>
      </c>
      <c r="AS140">
        <v>5700</v>
      </c>
      <c r="AT140" t="s">
        <v>117</v>
      </c>
      <c r="AU140" t="s">
        <v>169</v>
      </c>
      <c r="AV140">
        <v>49431</v>
      </c>
      <c r="AW140">
        <v>49431</v>
      </c>
      <c r="AX140">
        <v>40416</v>
      </c>
      <c r="AY140">
        <v>0</v>
      </c>
      <c r="AZ140" s="1">
        <v>46357</v>
      </c>
      <c r="BB140">
        <v>494265</v>
      </c>
      <c r="BC140" t="s">
        <v>99</v>
      </c>
      <c r="BD140" t="s">
        <v>233</v>
      </c>
      <c r="BE140" t="s">
        <v>160</v>
      </c>
      <c r="BG140" t="s">
        <v>100</v>
      </c>
      <c r="BH140" t="str">
        <f t="shared" si="6"/>
        <v>720803940</v>
      </c>
      <c r="BI140" t="s">
        <v>101</v>
      </c>
      <c r="BJ140" t="s">
        <v>102</v>
      </c>
      <c r="BK140" t="s">
        <v>102</v>
      </c>
      <c r="BL140">
        <v>811180106</v>
      </c>
      <c r="BM140">
        <v>4320121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815500227</v>
      </c>
      <c r="BT140">
        <v>99.47</v>
      </c>
      <c r="BU140">
        <v>0.53</v>
      </c>
      <c r="BV140">
        <v>0</v>
      </c>
      <c r="BW140">
        <v>0</v>
      </c>
      <c r="BX140">
        <v>0</v>
      </c>
      <c r="BY140">
        <v>0</v>
      </c>
      <c r="BZ140">
        <v>0</v>
      </c>
    </row>
    <row r="141" spans="1:78">
      <c r="A141" t="s">
        <v>260</v>
      </c>
      <c r="B141" t="s">
        <v>226</v>
      </c>
      <c r="C141" t="s">
        <v>227</v>
      </c>
      <c r="D141" t="s">
        <v>228</v>
      </c>
      <c r="E141">
        <v>6355</v>
      </c>
      <c r="F141" t="s">
        <v>229</v>
      </c>
      <c r="G141">
        <v>1452003</v>
      </c>
      <c r="H141">
        <v>1152090</v>
      </c>
      <c r="I141">
        <v>37100027</v>
      </c>
      <c r="J141">
        <v>426566</v>
      </c>
      <c r="L141" t="s">
        <v>230</v>
      </c>
      <c r="M141" t="s">
        <v>231</v>
      </c>
      <c r="N141" t="s">
        <v>87</v>
      </c>
      <c r="O141" t="s">
        <v>159</v>
      </c>
      <c r="P141" t="s">
        <v>159</v>
      </c>
      <c r="Q141" t="s">
        <v>112</v>
      </c>
      <c r="R141" t="s">
        <v>232</v>
      </c>
      <c r="S141" s="1">
        <v>46358</v>
      </c>
      <c r="T141" s="1">
        <v>46267</v>
      </c>
      <c r="U141">
        <v>21</v>
      </c>
      <c r="V141">
        <v>15</v>
      </c>
      <c r="W141" t="str">
        <f>"4.9"</f>
        <v>4.9</v>
      </c>
      <c r="X141" t="s">
        <v>247</v>
      </c>
      <c r="AA141" t="s">
        <v>94</v>
      </c>
      <c r="AB141" t="s">
        <v>95</v>
      </c>
      <c r="AC141" t="s">
        <v>96</v>
      </c>
      <c r="AD141" t="s">
        <v>95</v>
      </c>
      <c r="AE141" t="s">
        <v>95</v>
      </c>
      <c r="AF141" t="s">
        <v>95</v>
      </c>
      <c r="AN141" t="s">
        <v>95</v>
      </c>
      <c r="AQ141" s="1">
        <v>46267</v>
      </c>
      <c r="AS141">
        <v>5700</v>
      </c>
      <c r="AT141" t="s">
        <v>117</v>
      </c>
      <c r="AU141" t="s">
        <v>169</v>
      </c>
      <c r="AV141">
        <v>49431</v>
      </c>
      <c r="AW141">
        <v>49431</v>
      </c>
      <c r="AX141">
        <v>40416</v>
      </c>
      <c r="AY141">
        <v>0</v>
      </c>
      <c r="AZ141" s="1">
        <v>46357</v>
      </c>
      <c r="BB141">
        <v>494265</v>
      </c>
      <c r="BC141" t="s">
        <v>99</v>
      </c>
      <c r="BD141" t="s">
        <v>233</v>
      </c>
      <c r="BE141" t="s">
        <v>160</v>
      </c>
      <c r="BG141" t="s">
        <v>100</v>
      </c>
      <c r="BH141" t="str">
        <f t="shared" si="6"/>
        <v>720803940</v>
      </c>
      <c r="BI141" t="s">
        <v>101</v>
      </c>
      <c r="BJ141" t="s">
        <v>102</v>
      </c>
      <c r="BK141" t="s">
        <v>102</v>
      </c>
      <c r="BL141">
        <v>811139910</v>
      </c>
      <c r="BM141">
        <v>4351313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815491223</v>
      </c>
      <c r="BT141">
        <v>99.47</v>
      </c>
      <c r="BU141">
        <v>0.53</v>
      </c>
      <c r="BV141">
        <v>0</v>
      </c>
      <c r="BW141">
        <v>0</v>
      </c>
      <c r="BX141">
        <v>0</v>
      </c>
      <c r="BY141">
        <v>0</v>
      </c>
      <c r="BZ141">
        <v>0</v>
      </c>
    </row>
    <row r="142" spans="1:78">
      <c r="A142" t="s">
        <v>260</v>
      </c>
      <c r="B142" t="s">
        <v>226</v>
      </c>
      <c r="C142" t="s">
        <v>227</v>
      </c>
      <c r="D142" t="s">
        <v>228</v>
      </c>
      <c r="E142">
        <v>6355</v>
      </c>
      <c r="F142" t="s">
        <v>229</v>
      </c>
      <c r="G142">
        <v>1452003</v>
      </c>
      <c r="H142">
        <v>1152090</v>
      </c>
      <c r="I142">
        <v>37100027</v>
      </c>
      <c r="J142">
        <v>426566</v>
      </c>
      <c r="L142" t="s">
        <v>230</v>
      </c>
      <c r="M142" t="s">
        <v>231</v>
      </c>
      <c r="N142" t="s">
        <v>87</v>
      </c>
      <c r="O142" t="s">
        <v>159</v>
      </c>
      <c r="P142" t="s">
        <v>159</v>
      </c>
      <c r="Q142" t="s">
        <v>112</v>
      </c>
      <c r="R142" t="s">
        <v>232</v>
      </c>
      <c r="S142" s="1">
        <v>46358</v>
      </c>
      <c r="T142" s="1">
        <v>46267</v>
      </c>
      <c r="U142">
        <v>22</v>
      </c>
      <c r="V142">
        <v>16</v>
      </c>
      <c r="W142" t="str">
        <f>"4.10"</f>
        <v>4.10</v>
      </c>
      <c r="X142" t="s">
        <v>248</v>
      </c>
      <c r="AA142" t="s">
        <v>94</v>
      </c>
      <c r="AB142" t="s">
        <v>95</v>
      </c>
      <c r="AC142" t="s">
        <v>96</v>
      </c>
      <c r="AD142" t="s">
        <v>95</v>
      </c>
      <c r="AE142" t="s">
        <v>95</v>
      </c>
      <c r="AF142" t="s">
        <v>95</v>
      </c>
      <c r="AN142" t="s">
        <v>95</v>
      </c>
      <c r="AQ142" s="1">
        <v>46267</v>
      </c>
      <c r="AS142">
        <v>5700</v>
      </c>
      <c r="AT142" t="s">
        <v>117</v>
      </c>
      <c r="AU142" t="s">
        <v>169</v>
      </c>
      <c r="AV142">
        <v>49431</v>
      </c>
      <c r="AW142">
        <v>49431</v>
      </c>
      <c r="AX142">
        <v>40416</v>
      </c>
      <c r="AY142">
        <v>0</v>
      </c>
      <c r="AZ142" s="1">
        <v>46357</v>
      </c>
      <c r="BB142">
        <v>494265</v>
      </c>
      <c r="BC142" t="s">
        <v>99</v>
      </c>
      <c r="BD142" t="s">
        <v>233</v>
      </c>
      <c r="BE142" t="s">
        <v>160</v>
      </c>
      <c r="BG142" t="s">
        <v>100</v>
      </c>
      <c r="BH142" t="str">
        <f t="shared" si="6"/>
        <v>720803940</v>
      </c>
      <c r="BI142" t="s">
        <v>101</v>
      </c>
      <c r="BJ142" t="s">
        <v>102</v>
      </c>
      <c r="BK142" t="s">
        <v>102</v>
      </c>
      <c r="BL142">
        <v>811161807</v>
      </c>
      <c r="BM142">
        <v>4332575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815494382</v>
      </c>
      <c r="BT142">
        <v>99.47</v>
      </c>
      <c r="BU142">
        <v>0.53</v>
      </c>
      <c r="BV142">
        <v>0</v>
      </c>
      <c r="BW142">
        <v>0</v>
      </c>
      <c r="BX142">
        <v>0</v>
      </c>
      <c r="BY142">
        <v>0</v>
      </c>
      <c r="BZ142">
        <v>0</v>
      </c>
    </row>
    <row r="143" spans="1:78">
      <c r="A143" t="s">
        <v>260</v>
      </c>
      <c r="B143" t="s">
        <v>226</v>
      </c>
      <c r="C143" t="s">
        <v>227</v>
      </c>
      <c r="D143" t="s">
        <v>228</v>
      </c>
      <c r="E143">
        <v>6355</v>
      </c>
      <c r="F143" t="s">
        <v>229</v>
      </c>
      <c r="G143">
        <v>1452003</v>
      </c>
      <c r="H143">
        <v>1152090</v>
      </c>
      <c r="I143">
        <v>37100027</v>
      </c>
      <c r="J143">
        <v>426566</v>
      </c>
      <c r="L143" t="s">
        <v>230</v>
      </c>
      <c r="M143" t="s">
        <v>231</v>
      </c>
      <c r="N143" t="s">
        <v>87</v>
      </c>
      <c r="O143" t="s">
        <v>159</v>
      </c>
      <c r="P143" t="s">
        <v>159</v>
      </c>
      <c r="Q143" t="s">
        <v>112</v>
      </c>
      <c r="R143" t="s">
        <v>232</v>
      </c>
      <c r="S143" s="1">
        <v>46358</v>
      </c>
      <c r="T143" s="1">
        <v>46267</v>
      </c>
      <c r="U143">
        <v>23</v>
      </c>
      <c r="V143">
        <v>17</v>
      </c>
      <c r="W143" t="str">
        <f>"4.11"</f>
        <v>4.11</v>
      </c>
      <c r="X143" t="s">
        <v>249</v>
      </c>
      <c r="AA143" t="s">
        <v>94</v>
      </c>
      <c r="AB143" t="s">
        <v>95</v>
      </c>
      <c r="AC143" t="s">
        <v>96</v>
      </c>
      <c r="AD143" t="s">
        <v>95</v>
      </c>
      <c r="AE143" t="s">
        <v>95</v>
      </c>
      <c r="AF143" t="s">
        <v>95</v>
      </c>
      <c r="AN143" t="s">
        <v>95</v>
      </c>
      <c r="AQ143" s="1">
        <v>46267</v>
      </c>
      <c r="AS143">
        <v>5700</v>
      </c>
      <c r="AT143" t="s">
        <v>117</v>
      </c>
      <c r="AU143" t="s">
        <v>169</v>
      </c>
      <c r="AV143">
        <v>49431</v>
      </c>
      <c r="AW143">
        <v>49431</v>
      </c>
      <c r="AX143">
        <v>40416</v>
      </c>
      <c r="AY143">
        <v>0</v>
      </c>
      <c r="AZ143" s="1">
        <v>46357</v>
      </c>
      <c r="BB143">
        <v>494265</v>
      </c>
      <c r="BC143" t="s">
        <v>99</v>
      </c>
      <c r="BD143" t="s">
        <v>233</v>
      </c>
      <c r="BE143" t="s">
        <v>160</v>
      </c>
      <c r="BG143" t="s">
        <v>100</v>
      </c>
      <c r="BH143" t="str">
        <f t="shared" si="6"/>
        <v>720803940</v>
      </c>
      <c r="BI143" t="s">
        <v>101</v>
      </c>
      <c r="BJ143" t="s">
        <v>102</v>
      </c>
      <c r="BK143" t="s">
        <v>102</v>
      </c>
      <c r="BL143">
        <v>811149641</v>
      </c>
      <c r="BM143">
        <v>4344251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815493892</v>
      </c>
      <c r="BT143">
        <v>99.47</v>
      </c>
      <c r="BU143">
        <v>0.53</v>
      </c>
      <c r="BV143">
        <v>0</v>
      </c>
      <c r="BW143">
        <v>0</v>
      </c>
      <c r="BX143">
        <v>0</v>
      </c>
      <c r="BY143">
        <v>0</v>
      </c>
      <c r="BZ143">
        <v>0</v>
      </c>
    </row>
    <row r="144" spans="1:78">
      <c r="A144" t="s">
        <v>260</v>
      </c>
      <c r="B144" t="s">
        <v>226</v>
      </c>
      <c r="C144" t="s">
        <v>227</v>
      </c>
      <c r="D144" t="s">
        <v>228</v>
      </c>
      <c r="E144">
        <v>6355</v>
      </c>
      <c r="F144" t="s">
        <v>229</v>
      </c>
      <c r="G144">
        <v>1452003</v>
      </c>
      <c r="H144">
        <v>1152090</v>
      </c>
      <c r="I144">
        <v>37100027</v>
      </c>
      <c r="J144">
        <v>426566</v>
      </c>
      <c r="L144" t="s">
        <v>230</v>
      </c>
      <c r="M144" t="s">
        <v>231</v>
      </c>
      <c r="N144" t="s">
        <v>87</v>
      </c>
      <c r="O144" t="s">
        <v>159</v>
      </c>
      <c r="P144" t="s">
        <v>159</v>
      </c>
      <c r="Q144" t="s">
        <v>112</v>
      </c>
      <c r="R144" t="s">
        <v>232</v>
      </c>
      <c r="S144" s="1">
        <v>46358</v>
      </c>
      <c r="T144" s="1">
        <v>46267</v>
      </c>
      <c r="U144">
        <v>24</v>
      </c>
      <c r="V144">
        <v>18</v>
      </c>
      <c r="W144" t="str">
        <f>"4.12"</f>
        <v>4.12</v>
      </c>
      <c r="X144" t="s">
        <v>250</v>
      </c>
      <c r="AA144" t="s">
        <v>94</v>
      </c>
      <c r="AB144" t="s">
        <v>95</v>
      </c>
      <c r="AC144" t="s">
        <v>96</v>
      </c>
      <c r="AD144" t="s">
        <v>95</v>
      </c>
      <c r="AE144" t="s">
        <v>95</v>
      </c>
      <c r="AF144" t="s">
        <v>95</v>
      </c>
      <c r="AN144" t="s">
        <v>95</v>
      </c>
      <c r="AQ144" s="1">
        <v>46267</v>
      </c>
      <c r="AS144">
        <v>5700</v>
      </c>
      <c r="AT144" t="s">
        <v>117</v>
      </c>
      <c r="AU144" t="s">
        <v>169</v>
      </c>
      <c r="AV144">
        <v>49431</v>
      </c>
      <c r="AW144">
        <v>49431</v>
      </c>
      <c r="AX144">
        <v>40416</v>
      </c>
      <c r="AY144">
        <v>0</v>
      </c>
      <c r="AZ144" s="1">
        <v>46357</v>
      </c>
      <c r="BB144">
        <v>494265</v>
      </c>
      <c r="BC144" t="s">
        <v>99</v>
      </c>
      <c r="BD144" t="s">
        <v>233</v>
      </c>
      <c r="BE144" t="s">
        <v>160</v>
      </c>
      <c r="BG144" t="s">
        <v>100</v>
      </c>
      <c r="BH144" t="str">
        <f t="shared" si="6"/>
        <v>720803940</v>
      </c>
      <c r="BI144" t="s">
        <v>101</v>
      </c>
      <c r="BJ144" t="s">
        <v>102</v>
      </c>
      <c r="BK144" t="s">
        <v>102</v>
      </c>
      <c r="BL144">
        <v>811126603</v>
      </c>
      <c r="BM144">
        <v>4334758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815461361</v>
      </c>
      <c r="BT144">
        <v>99.47</v>
      </c>
      <c r="BU144">
        <v>0.53</v>
      </c>
      <c r="BV144">
        <v>0</v>
      </c>
      <c r="BW144">
        <v>0</v>
      </c>
      <c r="BX144">
        <v>0</v>
      </c>
      <c r="BY144">
        <v>0</v>
      </c>
      <c r="BZ144">
        <v>0</v>
      </c>
    </row>
    <row r="145" spans="1:78">
      <c r="A145" t="s">
        <v>260</v>
      </c>
      <c r="B145" t="s">
        <v>226</v>
      </c>
      <c r="C145" t="s">
        <v>227</v>
      </c>
      <c r="D145" t="s">
        <v>228</v>
      </c>
      <c r="E145">
        <v>6355</v>
      </c>
      <c r="F145" t="s">
        <v>229</v>
      </c>
      <c r="G145">
        <v>1452003</v>
      </c>
      <c r="H145">
        <v>1152090</v>
      </c>
      <c r="I145">
        <v>37100027</v>
      </c>
      <c r="J145">
        <v>426566</v>
      </c>
      <c r="L145" t="s">
        <v>230</v>
      </c>
      <c r="M145" t="s">
        <v>231</v>
      </c>
      <c r="N145" t="s">
        <v>87</v>
      </c>
      <c r="O145" t="s">
        <v>159</v>
      </c>
      <c r="P145" t="s">
        <v>159</v>
      </c>
      <c r="Q145" t="s">
        <v>112</v>
      </c>
      <c r="R145" t="s">
        <v>232</v>
      </c>
      <c r="S145" s="1">
        <v>46358</v>
      </c>
      <c r="T145" s="1">
        <v>46267</v>
      </c>
      <c r="U145">
        <v>25</v>
      </c>
      <c r="V145">
        <v>19</v>
      </c>
      <c r="W145" t="str">
        <f>"4.13"</f>
        <v>4.13</v>
      </c>
      <c r="X145" t="s">
        <v>251</v>
      </c>
      <c r="AA145" t="s">
        <v>94</v>
      </c>
      <c r="AB145" t="s">
        <v>95</v>
      </c>
      <c r="AC145" t="s">
        <v>96</v>
      </c>
      <c r="AD145" t="s">
        <v>95</v>
      </c>
      <c r="AE145" t="s">
        <v>95</v>
      </c>
      <c r="AF145" t="s">
        <v>95</v>
      </c>
      <c r="AN145" t="s">
        <v>95</v>
      </c>
      <c r="AQ145" s="1">
        <v>46267</v>
      </c>
      <c r="AS145">
        <v>5700</v>
      </c>
      <c r="AT145" t="s">
        <v>117</v>
      </c>
      <c r="AU145" t="s">
        <v>169</v>
      </c>
      <c r="AV145">
        <v>49431</v>
      </c>
      <c r="AW145">
        <v>49431</v>
      </c>
      <c r="AX145">
        <v>40416</v>
      </c>
      <c r="AY145">
        <v>0</v>
      </c>
      <c r="AZ145" s="1">
        <v>46357</v>
      </c>
      <c r="BB145">
        <v>494265</v>
      </c>
      <c r="BC145" t="s">
        <v>99</v>
      </c>
      <c r="BD145" t="s">
        <v>233</v>
      </c>
      <c r="BE145" t="s">
        <v>160</v>
      </c>
      <c r="BG145" t="s">
        <v>100</v>
      </c>
      <c r="BH145" t="str">
        <f t="shared" si="6"/>
        <v>720803940</v>
      </c>
      <c r="BI145" t="s">
        <v>101</v>
      </c>
      <c r="BJ145" t="s">
        <v>102</v>
      </c>
      <c r="BK145" t="s">
        <v>102</v>
      </c>
      <c r="BL145">
        <v>811167595</v>
      </c>
      <c r="BM145">
        <v>4332685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815500280</v>
      </c>
      <c r="BT145">
        <v>99.47</v>
      </c>
      <c r="BU145">
        <v>0.53</v>
      </c>
      <c r="BV145">
        <v>0</v>
      </c>
      <c r="BW145">
        <v>0</v>
      </c>
      <c r="BX145">
        <v>0</v>
      </c>
      <c r="BY145">
        <v>0</v>
      </c>
      <c r="BZ145">
        <v>0</v>
      </c>
    </row>
    <row r="146" spans="1:78">
      <c r="A146" t="s">
        <v>260</v>
      </c>
      <c r="B146" t="s">
        <v>226</v>
      </c>
      <c r="C146" t="s">
        <v>227</v>
      </c>
      <c r="D146" t="s">
        <v>228</v>
      </c>
      <c r="E146">
        <v>6355</v>
      </c>
      <c r="F146" t="s">
        <v>229</v>
      </c>
      <c r="G146">
        <v>1452003</v>
      </c>
      <c r="H146">
        <v>1152090</v>
      </c>
      <c r="I146">
        <v>37100027</v>
      </c>
      <c r="J146">
        <v>426566</v>
      </c>
      <c r="L146" t="s">
        <v>230</v>
      </c>
      <c r="M146" t="s">
        <v>231</v>
      </c>
      <c r="N146" t="s">
        <v>87</v>
      </c>
      <c r="O146" t="s">
        <v>159</v>
      </c>
      <c r="P146" t="s">
        <v>159</v>
      </c>
      <c r="Q146" t="s">
        <v>112</v>
      </c>
      <c r="R146" t="s">
        <v>232</v>
      </c>
      <c r="S146" s="1">
        <v>46358</v>
      </c>
      <c r="T146" s="1">
        <v>46267</v>
      </c>
      <c r="U146">
        <v>26</v>
      </c>
      <c r="V146">
        <v>20</v>
      </c>
      <c r="W146" t="str">
        <f>"4.14"</f>
        <v>4.14</v>
      </c>
      <c r="X146" t="s">
        <v>252</v>
      </c>
      <c r="AA146" t="s">
        <v>94</v>
      </c>
      <c r="AB146" t="s">
        <v>95</v>
      </c>
      <c r="AC146" t="s">
        <v>96</v>
      </c>
      <c r="AD146" t="s">
        <v>95</v>
      </c>
      <c r="AE146" t="s">
        <v>95</v>
      </c>
      <c r="AF146" t="s">
        <v>95</v>
      </c>
      <c r="AN146" t="s">
        <v>95</v>
      </c>
      <c r="AQ146" s="1">
        <v>46267</v>
      </c>
      <c r="AS146">
        <v>5700</v>
      </c>
      <c r="AT146" t="s">
        <v>117</v>
      </c>
      <c r="AU146" t="s">
        <v>169</v>
      </c>
      <c r="AV146">
        <v>49431</v>
      </c>
      <c r="AW146">
        <v>49431</v>
      </c>
      <c r="AX146">
        <v>40416</v>
      </c>
      <c r="AY146">
        <v>0</v>
      </c>
      <c r="AZ146" s="1">
        <v>46357</v>
      </c>
      <c r="BB146">
        <v>494265</v>
      </c>
      <c r="BC146" t="s">
        <v>99</v>
      </c>
      <c r="BD146" t="s">
        <v>233</v>
      </c>
      <c r="BE146" t="s">
        <v>160</v>
      </c>
      <c r="BG146" t="s">
        <v>100</v>
      </c>
      <c r="BH146" t="str">
        <f t="shared" si="6"/>
        <v>720803940</v>
      </c>
      <c r="BI146" t="s">
        <v>101</v>
      </c>
      <c r="BJ146" t="s">
        <v>102</v>
      </c>
      <c r="BK146" t="s">
        <v>102</v>
      </c>
      <c r="BL146">
        <v>807310025</v>
      </c>
      <c r="BM146">
        <v>4615548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811925573</v>
      </c>
      <c r="BT146">
        <v>99.43</v>
      </c>
      <c r="BU146">
        <v>0.56999999999999995</v>
      </c>
      <c r="BV146">
        <v>0</v>
      </c>
      <c r="BW146">
        <v>0</v>
      </c>
      <c r="BX146">
        <v>0</v>
      </c>
      <c r="BY146">
        <v>0</v>
      </c>
      <c r="BZ146">
        <v>0</v>
      </c>
    </row>
    <row r="147" spans="1:78">
      <c r="A147" t="s">
        <v>260</v>
      </c>
      <c r="B147" t="s">
        <v>226</v>
      </c>
      <c r="C147" t="s">
        <v>227</v>
      </c>
      <c r="D147" t="s">
        <v>228</v>
      </c>
      <c r="E147">
        <v>6355</v>
      </c>
      <c r="F147" t="s">
        <v>229</v>
      </c>
      <c r="G147">
        <v>1452003</v>
      </c>
      <c r="H147">
        <v>1152090</v>
      </c>
      <c r="I147">
        <v>37100027</v>
      </c>
      <c r="J147">
        <v>426566</v>
      </c>
      <c r="L147" t="s">
        <v>230</v>
      </c>
      <c r="M147" t="s">
        <v>231</v>
      </c>
      <c r="N147" t="s">
        <v>87</v>
      </c>
      <c r="O147" t="s">
        <v>159</v>
      </c>
      <c r="P147" t="s">
        <v>159</v>
      </c>
      <c r="Q147" t="s">
        <v>112</v>
      </c>
      <c r="R147" t="s">
        <v>232</v>
      </c>
      <c r="S147" s="1">
        <v>46358</v>
      </c>
      <c r="T147" s="1">
        <v>46267</v>
      </c>
      <c r="U147">
        <v>27</v>
      </c>
      <c r="V147">
        <v>21</v>
      </c>
      <c r="W147" t="str">
        <f>"4.15"</f>
        <v>4.15</v>
      </c>
      <c r="X147" t="s">
        <v>253</v>
      </c>
      <c r="AA147" t="s">
        <v>94</v>
      </c>
      <c r="AB147" t="s">
        <v>95</v>
      </c>
      <c r="AC147" t="s">
        <v>96</v>
      </c>
      <c r="AD147" t="s">
        <v>95</v>
      </c>
      <c r="AE147" t="s">
        <v>95</v>
      </c>
      <c r="AF147" t="s">
        <v>95</v>
      </c>
      <c r="AN147" t="s">
        <v>95</v>
      </c>
      <c r="AQ147" s="1">
        <v>46267</v>
      </c>
      <c r="AS147">
        <v>5700</v>
      </c>
      <c r="AT147" t="s">
        <v>117</v>
      </c>
      <c r="AU147" t="s">
        <v>169</v>
      </c>
      <c r="AV147">
        <v>49431</v>
      </c>
      <c r="AW147">
        <v>49431</v>
      </c>
      <c r="AX147">
        <v>40416</v>
      </c>
      <c r="AY147">
        <v>0</v>
      </c>
      <c r="AZ147" s="1">
        <v>46357</v>
      </c>
      <c r="BB147">
        <v>494265</v>
      </c>
      <c r="BC147" t="s">
        <v>99</v>
      </c>
      <c r="BD147" t="s">
        <v>233</v>
      </c>
      <c r="BE147" t="s">
        <v>160</v>
      </c>
      <c r="BG147" t="s">
        <v>100</v>
      </c>
      <c r="BH147" t="str">
        <f t="shared" si="6"/>
        <v>720803940</v>
      </c>
      <c r="BI147" t="s">
        <v>101</v>
      </c>
      <c r="BJ147" t="s">
        <v>102</v>
      </c>
      <c r="BK147" t="s">
        <v>102</v>
      </c>
      <c r="BL147">
        <v>811160381</v>
      </c>
      <c r="BM147">
        <v>4352808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815513189</v>
      </c>
      <c r="BT147">
        <v>99.47</v>
      </c>
      <c r="BU147">
        <v>0.53</v>
      </c>
      <c r="BV147">
        <v>0</v>
      </c>
      <c r="BW147">
        <v>0</v>
      </c>
      <c r="BX147">
        <v>0</v>
      </c>
      <c r="BY147">
        <v>0</v>
      </c>
      <c r="BZ147">
        <v>0</v>
      </c>
    </row>
    <row r="148" spans="1:78">
      <c r="A148" t="s">
        <v>260</v>
      </c>
      <c r="B148" t="s">
        <v>226</v>
      </c>
      <c r="C148" t="s">
        <v>227</v>
      </c>
      <c r="D148" t="s">
        <v>228</v>
      </c>
      <c r="E148">
        <v>6355</v>
      </c>
      <c r="F148" t="s">
        <v>229</v>
      </c>
      <c r="G148">
        <v>1452003</v>
      </c>
      <c r="H148">
        <v>1152090</v>
      </c>
      <c r="I148">
        <v>37100027</v>
      </c>
      <c r="J148">
        <v>426566</v>
      </c>
      <c r="L148" t="s">
        <v>230</v>
      </c>
      <c r="M148" t="s">
        <v>231</v>
      </c>
      <c r="N148" t="s">
        <v>87</v>
      </c>
      <c r="O148" t="s">
        <v>159</v>
      </c>
      <c r="P148" t="s">
        <v>159</v>
      </c>
      <c r="Q148" t="s">
        <v>112</v>
      </c>
      <c r="R148" t="s">
        <v>232</v>
      </c>
      <c r="S148" s="1">
        <v>46358</v>
      </c>
      <c r="T148" s="1">
        <v>46267</v>
      </c>
      <c r="U148">
        <v>28</v>
      </c>
      <c r="V148">
        <v>22</v>
      </c>
      <c r="W148" t="str">
        <f>"4.16"</f>
        <v>4.16</v>
      </c>
      <c r="X148" t="s">
        <v>254</v>
      </c>
      <c r="AA148" t="s">
        <v>94</v>
      </c>
      <c r="AB148" t="s">
        <v>95</v>
      </c>
      <c r="AC148" t="s">
        <v>96</v>
      </c>
      <c r="AD148" t="s">
        <v>95</v>
      </c>
      <c r="AE148" t="s">
        <v>95</v>
      </c>
      <c r="AF148" t="s">
        <v>95</v>
      </c>
      <c r="AN148" t="s">
        <v>95</v>
      </c>
      <c r="AQ148" s="1">
        <v>46267</v>
      </c>
      <c r="AS148">
        <v>5700</v>
      </c>
      <c r="AT148" t="s">
        <v>117</v>
      </c>
      <c r="AU148" t="s">
        <v>169</v>
      </c>
      <c r="AV148">
        <v>49431</v>
      </c>
      <c r="AW148">
        <v>49431</v>
      </c>
      <c r="AX148">
        <v>40416</v>
      </c>
      <c r="AY148">
        <v>0</v>
      </c>
      <c r="AZ148" s="1">
        <v>46357</v>
      </c>
      <c r="BB148">
        <v>494265</v>
      </c>
      <c r="BC148" t="s">
        <v>99</v>
      </c>
      <c r="BD148" t="s">
        <v>233</v>
      </c>
      <c r="BE148" t="s">
        <v>160</v>
      </c>
      <c r="BG148" t="s">
        <v>100</v>
      </c>
      <c r="BH148" t="str">
        <f t="shared" si="6"/>
        <v>720803940</v>
      </c>
      <c r="BI148" t="s">
        <v>101</v>
      </c>
      <c r="BJ148" t="s">
        <v>102</v>
      </c>
      <c r="BK148" t="s">
        <v>102</v>
      </c>
      <c r="BL148">
        <v>811135354</v>
      </c>
      <c r="BM148">
        <v>4358412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815493766</v>
      </c>
      <c r="BT148">
        <v>99.47</v>
      </c>
      <c r="BU148">
        <v>0.53</v>
      </c>
      <c r="BV148">
        <v>0</v>
      </c>
      <c r="BW148">
        <v>0</v>
      </c>
      <c r="BX148">
        <v>0</v>
      </c>
      <c r="BY148">
        <v>0</v>
      </c>
      <c r="BZ148">
        <v>0</v>
      </c>
    </row>
    <row r="149" spans="1:78">
      <c r="A149" t="s">
        <v>260</v>
      </c>
      <c r="B149" t="s">
        <v>226</v>
      </c>
      <c r="C149" t="s">
        <v>227</v>
      </c>
      <c r="D149" t="s">
        <v>228</v>
      </c>
      <c r="E149">
        <v>6355</v>
      </c>
      <c r="F149" t="s">
        <v>229</v>
      </c>
      <c r="G149">
        <v>1452003</v>
      </c>
      <c r="H149">
        <v>1152090</v>
      </c>
      <c r="I149">
        <v>37100027</v>
      </c>
      <c r="J149">
        <v>426566</v>
      </c>
      <c r="L149" t="s">
        <v>230</v>
      </c>
      <c r="M149" t="s">
        <v>231</v>
      </c>
      <c r="N149" t="s">
        <v>87</v>
      </c>
      <c r="O149" t="s">
        <v>159</v>
      </c>
      <c r="P149" t="s">
        <v>159</v>
      </c>
      <c r="Q149" t="s">
        <v>112</v>
      </c>
      <c r="R149" t="s">
        <v>232</v>
      </c>
      <c r="S149" s="1">
        <v>46358</v>
      </c>
      <c r="T149" s="1">
        <v>46267</v>
      </c>
      <c r="U149">
        <v>29</v>
      </c>
      <c r="V149">
        <v>23</v>
      </c>
      <c r="W149" t="str">
        <f>"4.17"</f>
        <v>4.17</v>
      </c>
      <c r="X149" t="s">
        <v>255</v>
      </c>
      <c r="AA149" t="s">
        <v>94</v>
      </c>
      <c r="AB149" t="s">
        <v>95</v>
      </c>
      <c r="AC149" t="s">
        <v>96</v>
      </c>
      <c r="AD149" t="s">
        <v>95</v>
      </c>
      <c r="AE149" t="s">
        <v>95</v>
      </c>
      <c r="AF149" t="s">
        <v>95</v>
      </c>
      <c r="AN149" t="s">
        <v>95</v>
      </c>
      <c r="AQ149" s="1">
        <v>46267</v>
      </c>
      <c r="AS149">
        <v>5700</v>
      </c>
      <c r="AT149" t="s">
        <v>117</v>
      </c>
      <c r="AU149" t="s">
        <v>169</v>
      </c>
      <c r="AV149">
        <v>49431</v>
      </c>
      <c r="AW149">
        <v>49431</v>
      </c>
      <c r="AX149">
        <v>40416</v>
      </c>
      <c r="AY149">
        <v>0</v>
      </c>
      <c r="AZ149" s="1">
        <v>46357</v>
      </c>
      <c r="BB149">
        <v>494265</v>
      </c>
      <c r="BC149" t="s">
        <v>99</v>
      </c>
      <c r="BD149" t="s">
        <v>233</v>
      </c>
      <c r="BE149" t="s">
        <v>160</v>
      </c>
      <c r="BG149" t="s">
        <v>100</v>
      </c>
      <c r="BH149" t="str">
        <f t="shared" si="6"/>
        <v>720803940</v>
      </c>
      <c r="BI149" t="s">
        <v>101</v>
      </c>
      <c r="BJ149" t="s">
        <v>102</v>
      </c>
      <c r="BK149" t="s">
        <v>102</v>
      </c>
      <c r="BL149">
        <v>811150957</v>
      </c>
      <c r="BM149">
        <v>4340905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815491862</v>
      </c>
      <c r="BT149">
        <v>99.47</v>
      </c>
      <c r="BU149">
        <v>0.53</v>
      </c>
      <c r="BV149">
        <v>0</v>
      </c>
      <c r="BW149">
        <v>0</v>
      </c>
      <c r="BX149">
        <v>0</v>
      </c>
      <c r="BY149">
        <v>0</v>
      </c>
      <c r="BZ149">
        <v>0</v>
      </c>
    </row>
    <row r="150" spans="1:78">
      <c r="A150" t="s">
        <v>260</v>
      </c>
      <c r="B150" t="s">
        <v>226</v>
      </c>
      <c r="C150" t="s">
        <v>227</v>
      </c>
      <c r="D150" t="s">
        <v>228</v>
      </c>
      <c r="E150">
        <v>6355</v>
      </c>
      <c r="F150" t="s">
        <v>229</v>
      </c>
      <c r="G150">
        <v>1452003</v>
      </c>
      <c r="H150">
        <v>1152090</v>
      </c>
      <c r="I150">
        <v>37100027</v>
      </c>
      <c r="J150">
        <v>426566</v>
      </c>
      <c r="L150" t="s">
        <v>230</v>
      </c>
      <c r="M150" t="s">
        <v>231</v>
      </c>
      <c r="N150" t="s">
        <v>87</v>
      </c>
      <c r="O150" t="s">
        <v>159</v>
      </c>
      <c r="P150" t="s">
        <v>159</v>
      </c>
      <c r="Q150" t="s">
        <v>112</v>
      </c>
      <c r="R150" t="s">
        <v>232</v>
      </c>
      <c r="S150" s="1">
        <v>46358</v>
      </c>
      <c r="T150" s="1">
        <v>46267</v>
      </c>
      <c r="U150">
        <v>30</v>
      </c>
      <c r="V150">
        <v>24</v>
      </c>
      <c r="W150" t="str">
        <f>"5"</f>
        <v>5</v>
      </c>
      <c r="X150" t="s">
        <v>190</v>
      </c>
      <c r="AA150" t="s">
        <v>94</v>
      </c>
      <c r="AB150" t="s">
        <v>95</v>
      </c>
      <c r="AC150" t="s">
        <v>96</v>
      </c>
      <c r="AD150" t="s">
        <v>95</v>
      </c>
      <c r="AE150" t="s">
        <v>95</v>
      </c>
      <c r="AF150" t="s">
        <v>95</v>
      </c>
      <c r="AN150" t="s">
        <v>95</v>
      </c>
      <c r="AQ150" s="1">
        <v>46267</v>
      </c>
      <c r="AS150">
        <v>5200</v>
      </c>
      <c r="AT150" t="s">
        <v>126</v>
      </c>
      <c r="AU150" t="s">
        <v>190</v>
      </c>
      <c r="AV150">
        <v>49431</v>
      </c>
      <c r="AW150">
        <v>49431</v>
      </c>
      <c r="AX150">
        <v>40416</v>
      </c>
      <c r="AY150">
        <v>0</v>
      </c>
      <c r="AZ150" s="1">
        <v>46357</v>
      </c>
      <c r="BB150">
        <v>494265</v>
      </c>
      <c r="BC150" t="s">
        <v>99</v>
      </c>
      <c r="BD150" t="s">
        <v>233</v>
      </c>
      <c r="BE150" t="s">
        <v>160</v>
      </c>
      <c r="BG150" t="s">
        <v>100</v>
      </c>
      <c r="BH150" t="str">
        <f t="shared" si="6"/>
        <v>720803940</v>
      </c>
      <c r="BI150" t="s">
        <v>101</v>
      </c>
      <c r="BJ150" t="s">
        <v>102</v>
      </c>
      <c r="BK150" t="s">
        <v>102</v>
      </c>
      <c r="BL150">
        <v>823659145</v>
      </c>
      <c r="BM150">
        <v>216259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823875404</v>
      </c>
      <c r="BT150">
        <v>99.97</v>
      </c>
      <c r="BU150">
        <v>0.03</v>
      </c>
      <c r="BV150">
        <v>0</v>
      </c>
      <c r="BW150">
        <v>0</v>
      </c>
      <c r="BX150">
        <v>0</v>
      </c>
      <c r="BY150">
        <v>0</v>
      </c>
      <c r="BZ150">
        <v>0</v>
      </c>
    </row>
    <row r="151" spans="1:78">
      <c r="A151" t="s">
        <v>260</v>
      </c>
      <c r="B151" t="s">
        <v>226</v>
      </c>
      <c r="C151" t="s">
        <v>227</v>
      </c>
      <c r="D151" t="s">
        <v>228</v>
      </c>
      <c r="E151">
        <v>6355</v>
      </c>
      <c r="F151" t="s">
        <v>229</v>
      </c>
      <c r="G151">
        <v>1452003</v>
      </c>
      <c r="H151">
        <v>1152090</v>
      </c>
      <c r="I151">
        <v>37100027</v>
      </c>
      <c r="J151">
        <v>426566</v>
      </c>
      <c r="L151" t="s">
        <v>230</v>
      </c>
      <c r="M151" t="s">
        <v>231</v>
      </c>
      <c r="N151" t="s">
        <v>87</v>
      </c>
      <c r="O151" t="s">
        <v>159</v>
      </c>
      <c r="P151" t="s">
        <v>159</v>
      </c>
      <c r="Q151" t="s">
        <v>112</v>
      </c>
      <c r="R151" t="s">
        <v>232</v>
      </c>
      <c r="S151" s="1">
        <v>46358</v>
      </c>
      <c r="T151" s="1">
        <v>46267</v>
      </c>
      <c r="U151">
        <v>31</v>
      </c>
      <c r="V151">
        <v>25</v>
      </c>
      <c r="W151" t="str">
        <f>"6"</f>
        <v>6</v>
      </c>
      <c r="X151" t="s">
        <v>191</v>
      </c>
      <c r="AA151" t="s">
        <v>94</v>
      </c>
      <c r="AB151" t="s">
        <v>95</v>
      </c>
      <c r="AC151" t="s">
        <v>96</v>
      </c>
      <c r="AD151" t="s">
        <v>95</v>
      </c>
      <c r="AE151" t="s">
        <v>95</v>
      </c>
      <c r="AF151" t="s">
        <v>95</v>
      </c>
      <c r="AN151" t="s">
        <v>95</v>
      </c>
      <c r="AQ151" s="1">
        <v>46267</v>
      </c>
      <c r="AS151">
        <v>5210</v>
      </c>
      <c r="AT151" t="s">
        <v>126</v>
      </c>
      <c r="AU151" t="s">
        <v>192</v>
      </c>
      <c r="AV151">
        <v>49431</v>
      </c>
      <c r="AW151">
        <v>49431</v>
      </c>
      <c r="AX151">
        <v>40416</v>
      </c>
      <c r="AY151">
        <v>0</v>
      </c>
      <c r="AZ151" s="1">
        <v>46357</v>
      </c>
      <c r="BB151">
        <v>494265</v>
      </c>
      <c r="BC151" t="s">
        <v>99</v>
      </c>
      <c r="BD151" t="s">
        <v>233</v>
      </c>
      <c r="BE151" t="s">
        <v>160</v>
      </c>
      <c r="BG151" t="s">
        <v>100</v>
      </c>
      <c r="BH151" t="str">
        <f t="shared" si="6"/>
        <v>720803940</v>
      </c>
      <c r="BI151" t="s">
        <v>101</v>
      </c>
      <c r="BJ151" t="s">
        <v>102</v>
      </c>
      <c r="BK151" t="s">
        <v>102</v>
      </c>
      <c r="BL151">
        <v>822986373</v>
      </c>
      <c r="BM151">
        <v>836686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823823059</v>
      </c>
      <c r="BT151">
        <v>99.9</v>
      </c>
      <c r="BU151">
        <v>0.1</v>
      </c>
      <c r="BV151">
        <v>0</v>
      </c>
      <c r="BW151">
        <v>0</v>
      </c>
      <c r="BX151">
        <v>0</v>
      </c>
      <c r="BY151">
        <v>0</v>
      </c>
      <c r="BZ151">
        <v>0</v>
      </c>
    </row>
    <row r="152" spans="1:78">
      <c r="A152" t="s">
        <v>260</v>
      </c>
      <c r="B152" t="s">
        <v>226</v>
      </c>
      <c r="C152" t="s">
        <v>227</v>
      </c>
      <c r="D152" t="s">
        <v>228</v>
      </c>
      <c r="E152">
        <v>6355</v>
      </c>
      <c r="F152" t="s">
        <v>229</v>
      </c>
      <c r="G152">
        <v>1452003</v>
      </c>
      <c r="H152">
        <v>1152090</v>
      </c>
      <c r="I152">
        <v>37100027</v>
      </c>
      <c r="J152">
        <v>426566</v>
      </c>
      <c r="L152" t="s">
        <v>230</v>
      </c>
      <c r="M152" t="s">
        <v>231</v>
      </c>
      <c r="N152" t="s">
        <v>87</v>
      </c>
      <c r="O152" t="s">
        <v>159</v>
      </c>
      <c r="P152" t="s">
        <v>159</v>
      </c>
      <c r="Q152" t="s">
        <v>112</v>
      </c>
      <c r="R152" t="s">
        <v>232</v>
      </c>
      <c r="S152" s="1">
        <v>46358</v>
      </c>
      <c r="T152" s="1">
        <v>46267</v>
      </c>
      <c r="U152">
        <v>32</v>
      </c>
      <c r="V152">
        <v>26</v>
      </c>
      <c r="W152" t="str">
        <f>"7"</f>
        <v>7</v>
      </c>
      <c r="X152" t="s">
        <v>256</v>
      </c>
      <c r="AA152" t="s">
        <v>94</v>
      </c>
      <c r="AB152" t="s">
        <v>95</v>
      </c>
      <c r="AC152" t="s">
        <v>96</v>
      </c>
      <c r="AD152" t="s">
        <v>95</v>
      </c>
      <c r="AE152" t="s">
        <v>95</v>
      </c>
      <c r="AF152" t="s">
        <v>95</v>
      </c>
      <c r="AN152" t="s">
        <v>95</v>
      </c>
      <c r="AQ152" s="1">
        <v>46267</v>
      </c>
      <c r="AS152">
        <v>5505</v>
      </c>
      <c r="AT152" t="s">
        <v>128</v>
      </c>
      <c r="AU152" t="s">
        <v>257</v>
      </c>
      <c r="AV152">
        <v>49431</v>
      </c>
      <c r="AW152">
        <v>49431</v>
      </c>
      <c r="AX152">
        <v>40416</v>
      </c>
      <c r="AY152">
        <v>0</v>
      </c>
      <c r="AZ152" s="1">
        <v>46357</v>
      </c>
      <c r="BB152">
        <v>494265</v>
      </c>
      <c r="BC152" t="s">
        <v>99</v>
      </c>
      <c r="BD152" t="s">
        <v>233</v>
      </c>
      <c r="BE152" t="s">
        <v>160</v>
      </c>
      <c r="BG152" t="s">
        <v>100</v>
      </c>
      <c r="BH152" t="str">
        <f t="shared" si="6"/>
        <v>720803940</v>
      </c>
      <c r="BI152" t="s">
        <v>101</v>
      </c>
      <c r="BJ152" t="s">
        <v>102</v>
      </c>
      <c r="BK152" t="s">
        <v>102</v>
      </c>
      <c r="BL152">
        <v>815582645</v>
      </c>
      <c r="BM152">
        <v>8228486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823811131</v>
      </c>
      <c r="BT152">
        <v>99</v>
      </c>
      <c r="BU152">
        <v>1</v>
      </c>
      <c r="BV152">
        <v>0</v>
      </c>
      <c r="BW152">
        <v>0</v>
      </c>
      <c r="BX152">
        <v>0</v>
      </c>
      <c r="BY152">
        <v>0</v>
      </c>
      <c r="BZ152">
        <v>0</v>
      </c>
    </row>
    <row r="153" spans="1:78">
      <c r="A153" t="s">
        <v>260</v>
      </c>
      <c r="B153" t="s">
        <v>226</v>
      </c>
      <c r="C153" t="s">
        <v>227</v>
      </c>
      <c r="D153" t="s">
        <v>228</v>
      </c>
      <c r="E153">
        <v>6355</v>
      </c>
      <c r="F153" t="s">
        <v>229</v>
      </c>
      <c r="G153">
        <v>1452003</v>
      </c>
      <c r="H153">
        <v>1152090</v>
      </c>
      <c r="I153">
        <v>37100027</v>
      </c>
      <c r="J153">
        <v>426566</v>
      </c>
      <c r="L153" t="s">
        <v>230</v>
      </c>
      <c r="M153" t="s">
        <v>231</v>
      </c>
      <c r="N153" t="s">
        <v>87</v>
      </c>
      <c r="O153" t="s">
        <v>159</v>
      </c>
      <c r="P153" t="s">
        <v>159</v>
      </c>
      <c r="Q153" t="s">
        <v>112</v>
      </c>
      <c r="R153" t="s">
        <v>232</v>
      </c>
      <c r="S153" s="1">
        <v>46358</v>
      </c>
      <c r="T153" s="1">
        <v>46267</v>
      </c>
      <c r="U153">
        <v>33</v>
      </c>
      <c r="V153">
        <v>27</v>
      </c>
      <c r="W153" t="str">
        <f>"8"</f>
        <v>8</v>
      </c>
      <c r="X153" t="s">
        <v>258</v>
      </c>
      <c r="AA153" t="s">
        <v>94</v>
      </c>
      <c r="AB153" t="s">
        <v>95</v>
      </c>
      <c r="AC153" t="s">
        <v>96</v>
      </c>
      <c r="AD153" t="s">
        <v>95</v>
      </c>
      <c r="AE153" t="s">
        <v>95</v>
      </c>
      <c r="AF153" t="s">
        <v>95</v>
      </c>
      <c r="AN153" t="s">
        <v>95</v>
      </c>
      <c r="AQ153" s="1">
        <v>46267</v>
      </c>
      <c r="AS153">
        <v>5605</v>
      </c>
      <c r="AT153" t="s">
        <v>128</v>
      </c>
      <c r="AU153" t="s">
        <v>259</v>
      </c>
      <c r="AV153">
        <v>49431</v>
      </c>
      <c r="AW153">
        <v>49431</v>
      </c>
      <c r="AX153">
        <v>40416</v>
      </c>
      <c r="AY153">
        <v>0</v>
      </c>
      <c r="AZ153" s="1">
        <v>46357</v>
      </c>
      <c r="BB153">
        <v>494265</v>
      </c>
      <c r="BC153" t="s">
        <v>99</v>
      </c>
      <c r="BD153" t="s">
        <v>233</v>
      </c>
      <c r="BE153" t="s">
        <v>160</v>
      </c>
      <c r="BG153" t="s">
        <v>100</v>
      </c>
      <c r="BH153" t="str">
        <f t="shared" si="6"/>
        <v>720803940</v>
      </c>
      <c r="BI153" t="s">
        <v>101</v>
      </c>
      <c r="BJ153" t="s">
        <v>102</v>
      </c>
      <c r="BK153" t="s">
        <v>102</v>
      </c>
      <c r="BL153">
        <v>711736439</v>
      </c>
      <c r="BM153">
        <v>99947559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811683998</v>
      </c>
      <c r="BT153">
        <v>87.69</v>
      </c>
      <c r="BU153">
        <v>12.31</v>
      </c>
      <c r="BV153">
        <v>0</v>
      </c>
      <c r="BW153">
        <v>0</v>
      </c>
      <c r="BX153">
        <v>0</v>
      </c>
      <c r="BY153">
        <v>0</v>
      </c>
      <c r="BZ153">
        <v>0</v>
      </c>
    </row>
    <row r="154" spans="1:78">
      <c r="A154" t="s">
        <v>260</v>
      </c>
      <c r="B154" t="s">
        <v>226</v>
      </c>
      <c r="C154" t="s">
        <v>227</v>
      </c>
      <c r="D154" t="s">
        <v>228</v>
      </c>
      <c r="E154">
        <v>6355</v>
      </c>
      <c r="F154" t="s">
        <v>229</v>
      </c>
      <c r="G154">
        <v>1452003</v>
      </c>
      <c r="H154">
        <v>1152090</v>
      </c>
      <c r="I154">
        <v>37100027</v>
      </c>
      <c r="J154">
        <v>426566</v>
      </c>
      <c r="L154" t="s">
        <v>230</v>
      </c>
      <c r="M154" t="s">
        <v>231</v>
      </c>
      <c r="N154" t="s">
        <v>87</v>
      </c>
      <c r="O154" t="s">
        <v>159</v>
      </c>
      <c r="P154" t="s">
        <v>159</v>
      </c>
      <c r="Q154" t="s">
        <v>112</v>
      </c>
      <c r="R154" t="s">
        <v>232</v>
      </c>
      <c r="S154" s="1">
        <v>46358</v>
      </c>
      <c r="T154" s="1">
        <v>46267</v>
      </c>
      <c r="U154">
        <v>34</v>
      </c>
      <c r="V154">
        <v>28</v>
      </c>
      <c r="W154" t="str">
        <f>"9"</f>
        <v>9</v>
      </c>
      <c r="X154" t="s">
        <v>193</v>
      </c>
      <c r="AA154" t="s">
        <v>94</v>
      </c>
      <c r="AB154" t="s">
        <v>95</v>
      </c>
      <c r="AC154" t="s">
        <v>96</v>
      </c>
      <c r="AD154" t="s">
        <v>95</v>
      </c>
      <c r="AE154" t="s">
        <v>95</v>
      </c>
      <c r="AF154" t="s">
        <v>95</v>
      </c>
      <c r="AN154" t="s">
        <v>95</v>
      </c>
      <c r="AQ154" s="1">
        <v>46267</v>
      </c>
      <c r="AS154">
        <v>5600</v>
      </c>
      <c r="AT154" t="s">
        <v>128</v>
      </c>
      <c r="AU154" t="s">
        <v>194</v>
      </c>
      <c r="AV154">
        <v>49431</v>
      </c>
      <c r="AW154">
        <v>49431</v>
      </c>
      <c r="AX154">
        <v>40416</v>
      </c>
      <c r="AY154">
        <v>0</v>
      </c>
      <c r="AZ154" s="1">
        <v>46357</v>
      </c>
      <c r="BB154">
        <v>494265</v>
      </c>
      <c r="BC154" t="s">
        <v>99</v>
      </c>
      <c r="BD154" t="s">
        <v>233</v>
      </c>
      <c r="BE154" t="s">
        <v>160</v>
      </c>
      <c r="BG154" t="s">
        <v>100</v>
      </c>
      <c r="BH154" t="str">
        <f t="shared" si="6"/>
        <v>720803940</v>
      </c>
      <c r="BI154" t="s">
        <v>101</v>
      </c>
      <c r="BJ154" t="s">
        <v>102</v>
      </c>
      <c r="BK154" t="s">
        <v>102</v>
      </c>
      <c r="BL154">
        <v>695401968</v>
      </c>
      <c r="BM154">
        <v>92100122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787502090</v>
      </c>
      <c r="BT154">
        <v>88.3</v>
      </c>
      <c r="BU154">
        <v>11.7</v>
      </c>
      <c r="BV154">
        <v>0</v>
      </c>
      <c r="BW154">
        <v>0</v>
      </c>
      <c r="BX154">
        <v>0</v>
      </c>
      <c r="BY154">
        <v>0</v>
      </c>
      <c r="BZ154">
        <v>0</v>
      </c>
    </row>
    <row r="155" spans="1:78">
      <c r="A155" t="s">
        <v>205</v>
      </c>
      <c r="B155" t="s">
        <v>226</v>
      </c>
      <c r="C155" t="s">
        <v>227</v>
      </c>
      <c r="D155" t="s">
        <v>228</v>
      </c>
      <c r="E155">
        <v>6355</v>
      </c>
      <c r="F155" t="s">
        <v>229</v>
      </c>
      <c r="G155">
        <v>1452003</v>
      </c>
      <c r="H155">
        <v>1152090</v>
      </c>
      <c r="I155">
        <v>37100026</v>
      </c>
      <c r="J155">
        <v>426566</v>
      </c>
      <c r="L155" t="s">
        <v>230</v>
      </c>
      <c r="M155" t="s">
        <v>231</v>
      </c>
      <c r="N155" t="s">
        <v>87</v>
      </c>
      <c r="O155" t="s">
        <v>159</v>
      </c>
      <c r="P155" t="s">
        <v>159</v>
      </c>
      <c r="Q155" t="s">
        <v>112</v>
      </c>
      <c r="R155" t="s">
        <v>232</v>
      </c>
      <c r="S155" s="1">
        <v>46358</v>
      </c>
      <c r="T155" s="1">
        <v>46267</v>
      </c>
      <c r="U155">
        <v>7</v>
      </c>
      <c r="V155">
        <v>1</v>
      </c>
      <c r="W155" t="str">
        <f>"2"</f>
        <v>2</v>
      </c>
      <c r="X155" t="s">
        <v>161</v>
      </c>
      <c r="AA155" t="s">
        <v>94</v>
      </c>
      <c r="AB155" t="s">
        <v>95</v>
      </c>
      <c r="AC155" t="s">
        <v>96</v>
      </c>
      <c r="AD155" t="s">
        <v>95</v>
      </c>
      <c r="AE155" t="s">
        <v>95</v>
      </c>
      <c r="AF155" t="s">
        <v>95</v>
      </c>
      <c r="AN155" t="s">
        <v>95</v>
      </c>
      <c r="AQ155" s="1">
        <v>46267</v>
      </c>
      <c r="AS155">
        <v>5000</v>
      </c>
      <c r="AT155" t="s">
        <v>126</v>
      </c>
      <c r="AU155" t="s">
        <v>162</v>
      </c>
      <c r="AV155">
        <v>18773</v>
      </c>
      <c r="AW155">
        <v>18773</v>
      </c>
      <c r="AX155">
        <v>13658</v>
      </c>
      <c r="AY155">
        <v>0</v>
      </c>
      <c r="AZ155" s="1">
        <v>46357</v>
      </c>
      <c r="BB155">
        <v>494265</v>
      </c>
      <c r="BC155" t="s">
        <v>99</v>
      </c>
      <c r="BD155" t="s">
        <v>233</v>
      </c>
      <c r="BE155" t="s">
        <v>160</v>
      </c>
      <c r="BG155" t="s">
        <v>100</v>
      </c>
      <c r="BH155" t="str">
        <f t="shared" si="6"/>
        <v>720803940</v>
      </c>
      <c r="BI155" t="s">
        <v>101</v>
      </c>
      <c r="BJ155" t="s">
        <v>102</v>
      </c>
      <c r="BK155" t="s">
        <v>102</v>
      </c>
      <c r="BL155">
        <v>823367021</v>
      </c>
      <c r="BM155">
        <v>276660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823643681</v>
      </c>
      <c r="BT155">
        <v>99.97</v>
      </c>
      <c r="BU155">
        <v>0.03</v>
      </c>
      <c r="BV155">
        <v>0</v>
      </c>
      <c r="BW155">
        <v>0</v>
      </c>
      <c r="BX155">
        <v>0</v>
      </c>
      <c r="BY155">
        <v>0</v>
      </c>
      <c r="BZ155">
        <v>0</v>
      </c>
    </row>
    <row r="156" spans="1:78">
      <c r="A156" t="s">
        <v>205</v>
      </c>
      <c r="B156" t="s">
        <v>226</v>
      </c>
      <c r="C156" t="s">
        <v>227</v>
      </c>
      <c r="D156" t="s">
        <v>228</v>
      </c>
      <c r="E156">
        <v>6355</v>
      </c>
      <c r="F156" t="s">
        <v>229</v>
      </c>
      <c r="G156">
        <v>1452003</v>
      </c>
      <c r="H156">
        <v>1152090</v>
      </c>
      <c r="I156">
        <v>37100026</v>
      </c>
      <c r="J156">
        <v>426566</v>
      </c>
      <c r="L156" t="s">
        <v>230</v>
      </c>
      <c r="M156" t="s">
        <v>231</v>
      </c>
      <c r="N156" t="s">
        <v>87</v>
      </c>
      <c r="O156" t="s">
        <v>159</v>
      </c>
      <c r="P156" t="s">
        <v>159</v>
      </c>
      <c r="Q156" t="s">
        <v>112</v>
      </c>
      <c r="R156" t="s">
        <v>232</v>
      </c>
      <c r="S156" s="1">
        <v>46358</v>
      </c>
      <c r="T156" s="1">
        <v>46267</v>
      </c>
      <c r="U156">
        <v>8</v>
      </c>
      <c r="V156">
        <v>2</v>
      </c>
      <c r="W156" t="str">
        <f>"3.1"</f>
        <v>3.1</v>
      </c>
      <c r="X156" t="s">
        <v>234</v>
      </c>
      <c r="AA156" t="s">
        <v>94</v>
      </c>
      <c r="AB156" t="s">
        <v>95</v>
      </c>
      <c r="AC156" t="s">
        <v>96</v>
      </c>
      <c r="AD156" t="s">
        <v>95</v>
      </c>
      <c r="AE156" t="s">
        <v>95</v>
      </c>
      <c r="AF156" t="s">
        <v>95</v>
      </c>
      <c r="AN156" t="s">
        <v>95</v>
      </c>
      <c r="AQ156" s="1">
        <v>46267</v>
      </c>
      <c r="AS156">
        <v>5720</v>
      </c>
      <c r="AT156" t="s">
        <v>117</v>
      </c>
      <c r="AU156" t="s">
        <v>164</v>
      </c>
      <c r="AV156">
        <v>18773</v>
      </c>
      <c r="AW156">
        <v>18773</v>
      </c>
      <c r="AX156">
        <v>13658</v>
      </c>
      <c r="AY156">
        <v>0</v>
      </c>
      <c r="AZ156" s="1">
        <v>46357</v>
      </c>
      <c r="BB156">
        <v>494265</v>
      </c>
      <c r="BC156" t="s">
        <v>99</v>
      </c>
      <c r="BD156" t="s">
        <v>233</v>
      </c>
      <c r="BE156" t="s">
        <v>160</v>
      </c>
      <c r="BG156" t="s">
        <v>100</v>
      </c>
      <c r="BH156" t="str">
        <f t="shared" si="6"/>
        <v>720803940</v>
      </c>
      <c r="BI156" t="s">
        <v>101</v>
      </c>
      <c r="BJ156" t="s">
        <v>102</v>
      </c>
      <c r="BK156" t="s">
        <v>102</v>
      </c>
      <c r="BL156">
        <v>810630514</v>
      </c>
      <c r="BM156">
        <v>4897821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815528335</v>
      </c>
      <c r="BT156">
        <v>99.4</v>
      </c>
      <c r="BU156">
        <v>0.6</v>
      </c>
      <c r="BV156">
        <v>0</v>
      </c>
      <c r="BW156">
        <v>0</v>
      </c>
      <c r="BX156">
        <v>0</v>
      </c>
      <c r="BY156">
        <v>0</v>
      </c>
      <c r="BZ156">
        <v>0</v>
      </c>
    </row>
    <row r="157" spans="1:78">
      <c r="A157" t="s">
        <v>205</v>
      </c>
      <c r="B157" t="s">
        <v>226</v>
      </c>
      <c r="C157" t="s">
        <v>227</v>
      </c>
      <c r="D157" t="s">
        <v>228</v>
      </c>
      <c r="E157">
        <v>6355</v>
      </c>
      <c r="F157" t="s">
        <v>229</v>
      </c>
      <c r="G157">
        <v>1452003</v>
      </c>
      <c r="H157">
        <v>1152090</v>
      </c>
      <c r="I157">
        <v>37100026</v>
      </c>
      <c r="J157">
        <v>426566</v>
      </c>
      <c r="L157" t="s">
        <v>230</v>
      </c>
      <c r="M157" t="s">
        <v>231</v>
      </c>
      <c r="N157" t="s">
        <v>87</v>
      </c>
      <c r="O157" t="s">
        <v>159</v>
      </c>
      <c r="P157" t="s">
        <v>159</v>
      </c>
      <c r="Q157" t="s">
        <v>112</v>
      </c>
      <c r="R157" t="s">
        <v>232</v>
      </c>
      <c r="S157" s="1">
        <v>46358</v>
      </c>
      <c r="T157" s="1">
        <v>46267</v>
      </c>
      <c r="U157">
        <v>9</v>
      </c>
      <c r="V157">
        <v>3</v>
      </c>
      <c r="W157" t="str">
        <f>"3.2"</f>
        <v>3.2</v>
      </c>
      <c r="X157" t="s">
        <v>235</v>
      </c>
      <c r="AA157" t="s">
        <v>94</v>
      </c>
      <c r="AB157" t="s">
        <v>95</v>
      </c>
      <c r="AC157" t="s">
        <v>96</v>
      </c>
      <c r="AD157" t="s">
        <v>95</v>
      </c>
      <c r="AE157" t="s">
        <v>95</v>
      </c>
      <c r="AF157" t="s">
        <v>95</v>
      </c>
      <c r="AN157" t="s">
        <v>95</v>
      </c>
      <c r="AQ157" s="1">
        <v>46267</v>
      </c>
      <c r="AS157">
        <v>5720</v>
      </c>
      <c r="AT157" t="s">
        <v>117</v>
      </c>
      <c r="AU157" t="s">
        <v>164</v>
      </c>
      <c r="AV157">
        <v>18773</v>
      </c>
      <c r="AW157">
        <v>18773</v>
      </c>
      <c r="AX157">
        <v>13658</v>
      </c>
      <c r="AY157">
        <v>0</v>
      </c>
      <c r="AZ157" s="1">
        <v>46357</v>
      </c>
      <c r="BB157">
        <v>494265</v>
      </c>
      <c r="BC157" t="s">
        <v>99</v>
      </c>
      <c r="BD157" t="s">
        <v>233</v>
      </c>
      <c r="BE157" t="s">
        <v>160</v>
      </c>
      <c r="BG157" t="s">
        <v>100</v>
      </c>
      <c r="BH157" t="str">
        <f t="shared" si="6"/>
        <v>720803940</v>
      </c>
      <c r="BI157" t="s">
        <v>101</v>
      </c>
      <c r="BJ157" t="s">
        <v>102</v>
      </c>
      <c r="BK157" t="s">
        <v>102</v>
      </c>
      <c r="BL157">
        <v>811179419</v>
      </c>
      <c r="BM157">
        <v>4340007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815519426</v>
      </c>
      <c r="BT157">
        <v>99.47</v>
      </c>
      <c r="BU157">
        <v>0.53</v>
      </c>
      <c r="BV157">
        <v>0</v>
      </c>
      <c r="BW157">
        <v>0</v>
      </c>
      <c r="BX157">
        <v>0</v>
      </c>
      <c r="BY157">
        <v>0</v>
      </c>
      <c r="BZ157">
        <v>0</v>
      </c>
    </row>
    <row r="158" spans="1:78">
      <c r="A158" t="s">
        <v>205</v>
      </c>
      <c r="B158" t="s">
        <v>226</v>
      </c>
      <c r="C158" t="s">
        <v>227</v>
      </c>
      <c r="D158" t="s">
        <v>228</v>
      </c>
      <c r="E158">
        <v>6355</v>
      </c>
      <c r="F158" t="s">
        <v>229</v>
      </c>
      <c r="G158">
        <v>1452003</v>
      </c>
      <c r="H158">
        <v>1152090</v>
      </c>
      <c r="I158">
        <v>37100026</v>
      </c>
      <c r="J158">
        <v>426566</v>
      </c>
      <c r="L158" t="s">
        <v>230</v>
      </c>
      <c r="M158" t="s">
        <v>231</v>
      </c>
      <c r="N158" t="s">
        <v>87</v>
      </c>
      <c r="O158" t="s">
        <v>159</v>
      </c>
      <c r="P158" t="s">
        <v>159</v>
      </c>
      <c r="Q158" t="s">
        <v>112</v>
      </c>
      <c r="R158" t="s">
        <v>232</v>
      </c>
      <c r="S158" s="1">
        <v>46358</v>
      </c>
      <c r="T158" s="1">
        <v>46267</v>
      </c>
      <c r="U158">
        <v>10</v>
      </c>
      <c r="V158">
        <v>4</v>
      </c>
      <c r="W158" t="str">
        <f>"3.3"</f>
        <v>3.3</v>
      </c>
      <c r="X158" t="s">
        <v>236</v>
      </c>
      <c r="AA158" t="s">
        <v>94</v>
      </c>
      <c r="AB158" t="s">
        <v>95</v>
      </c>
      <c r="AC158" t="s">
        <v>96</v>
      </c>
      <c r="AD158" t="s">
        <v>95</v>
      </c>
      <c r="AE158" t="s">
        <v>95</v>
      </c>
      <c r="AF158" t="s">
        <v>95</v>
      </c>
      <c r="AN158" t="s">
        <v>95</v>
      </c>
      <c r="AQ158" s="1">
        <v>46267</v>
      </c>
      <c r="AS158">
        <v>5720</v>
      </c>
      <c r="AT158" t="s">
        <v>117</v>
      </c>
      <c r="AU158" t="s">
        <v>164</v>
      </c>
      <c r="AV158">
        <v>18773</v>
      </c>
      <c r="AW158">
        <v>18773</v>
      </c>
      <c r="AX158">
        <v>13658</v>
      </c>
      <c r="AY158">
        <v>0</v>
      </c>
      <c r="AZ158" s="1">
        <v>46357</v>
      </c>
      <c r="BB158">
        <v>494265</v>
      </c>
      <c r="BC158" t="s">
        <v>99</v>
      </c>
      <c r="BD158" t="s">
        <v>233</v>
      </c>
      <c r="BE158" t="s">
        <v>160</v>
      </c>
      <c r="BG158" t="s">
        <v>100</v>
      </c>
      <c r="BH158" t="str">
        <f t="shared" si="6"/>
        <v>720803940</v>
      </c>
      <c r="BI158" t="s">
        <v>101</v>
      </c>
      <c r="BJ158" t="s">
        <v>102</v>
      </c>
      <c r="BK158" t="s">
        <v>102</v>
      </c>
      <c r="BL158">
        <v>811217281</v>
      </c>
      <c r="BM158">
        <v>4313948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815531229</v>
      </c>
      <c r="BT158">
        <v>99.47</v>
      </c>
      <c r="BU158">
        <v>0.53</v>
      </c>
      <c r="BV158">
        <v>0</v>
      </c>
      <c r="BW158">
        <v>0</v>
      </c>
      <c r="BX158">
        <v>0</v>
      </c>
      <c r="BY158">
        <v>0</v>
      </c>
      <c r="BZ158">
        <v>0</v>
      </c>
    </row>
    <row r="159" spans="1:78">
      <c r="A159" t="s">
        <v>205</v>
      </c>
      <c r="B159" t="s">
        <v>226</v>
      </c>
      <c r="C159" t="s">
        <v>227</v>
      </c>
      <c r="D159" t="s">
        <v>228</v>
      </c>
      <c r="E159">
        <v>6355</v>
      </c>
      <c r="F159" t="s">
        <v>229</v>
      </c>
      <c r="G159">
        <v>1452003</v>
      </c>
      <c r="H159">
        <v>1152090</v>
      </c>
      <c r="I159">
        <v>37100026</v>
      </c>
      <c r="J159">
        <v>426566</v>
      </c>
      <c r="L159" t="s">
        <v>230</v>
      </c>
      <c r="M159" t="s">
        <v>231</v>
      </c>
      <c r="N159" t="s">
        <v>87</v>
      </c>
      <c r="O159" t="s">
        <v>159</v>
      </c>
      <c r="P159" t="s">
        <v>159</v>
      </c>
      <c r="Q159" t="s">
        <v>112</v>
      </c>
      <c r="R159" t="s">
        <v>232</v>
      </c>
      <c r="S159" s="1">
        <v>46358</v>
      </c>
      <c r="T159" s="1">
        <v>46267</v>
      </c>
      <c r="U159">
        <v>11</v>
      </c>
      <c r="V159">
        <v>5</v>
      </c>
      <c r="W159" t="str">
        <f>"3.4"</f>
        <v>3.4</v>
      </c>
      <c r="X159" t="s">
        <v>237</v>
      </c>
      <c r="AA159" t="s">
        <v>94</v>
      </c>
      <c r="AB159" t="s">
        <v>95</v>
      </c>
      <c r="AC159" t="s">
        <v>96</v>
      </c>
      <c r="AD159" t="s">
        <v>95</v>
      </c>
      <c r="AE159" t="s">
        <v>95</v>
      </c>
      <c r="AF159" t="s">
        <v>95</v>
      </c>
      <c r="AN159" t="s">
        <v>95</v>
      </c>
      <c r="AQ159" s="1">
        <v>46267</v>
      </c>
      <c r="AS159">
        <v>5720</v>
      </c>
      <c r="AT159" t="s">
        <v>117</v>
      </c>
      <c r="AU159" t="s">
        <v>164</v>
      </c>
      <c r="AV159">
        <v>18773</v>
      </c>
      <c r="AW159">
        <v>18773</v>
      </c>
      <c r="AX159">
        <v>13658</v>
      </c>
      <c r="AY159">
        <v>0</v>
      </c>
      <c r="AZ159" s="1">
        <v>46357</v>
      </c>
      <c r="BB159">
        <v>494265</v>
      </c>
      <c r="BC159" t="s">
        <v>99</v>
      </c>
      <c r="BD159" t="s">
        <v>233</v>
      </c>
      <c r="BE159" t="s">
        <v>160</v>
      </c>
      <c r="BG159" t="s">
        <v>100</v>
      </c>
      <c r="BH159" t="str">
        <f t="shared" si="6"/>
        <v>720803940</v>
      </c>
      <c r="BI159" t="s">
        <v>101</v>
      </c>
      <c r="BJ159" t="s">
        <v>102</v>
      </c>
      <c r="BK159" t="s">
        <v>102</v>
      </c>
      <c r="BL159">
        <v>811200022</v>
      </c>
      <c r="BM159">
        <v>4326933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815526955</v>
      </c>
      <c r="BT159">
        <v>99.47</v>
      </c>
      <c r="BU159">
        <v>0.53</v>
      </c>
      <c r="BV159">
        <v>0</v>
      </c>
      <c r="BW159">
        <v>0</v>
      </c>
      <c r="BX159">
        <v>0</v>
      </c>
      <c r="BY159">
        <v>0</v>
      </c>
      <c r="BZ159">
        <v>0</v>
      </c>
    </row>
    <row r="160" spans="1:78">
      <c r="A160" t="s">
        <v>205</v>
      </c>
      <c r="B160" t="s">
        <v>226</v>
      </c>
      <c r="C160" t="s">
        <v>227</v>
      </c>
      <c r="D160" t="s">
        <v>228</v>
      </c>
      <c r="E160">
        <v>6355</v>
      </c>
      <c r="F160" t="s">
        <v>229</v>
      </c>
      <c r="G160">
        <v>1452003</v>
      </c>
      <c r="H160">
        <v>1152090</v>
      </c>
      <c r="I160">
        <v>37100026</v>
      </c>
      <c r="J160">
        <v>426566</v>
      </c>
      <c r="L160" t="s">
        <v>230</v>
      </c>
      <c r="M160" t="s">
        <v>231</v>
      </c>
      <c r="N160" t="s">
        <v>87</v>
      </c>
      <c r="O160" t="s">
        <v>159</v>
      </c>
      <c r="P160" t="s">
        <v>159</v>
      </c>
      <c r="Q160" t="s">
        <v>112</v>
      </c>
      <c r="R160" t="s">
        <v>232</v>
      </c>
      <c r="S160" s="1">
        <v>46358</v>
      </c>
      <c r="T160" s="1">
        <v>46267</v>
      </c>
      <c r="U160">
        <v>12</v>
      </c>
      <c r="V160">
        <v>6</v>
      </c>
      <c r="W160" t="str">
        <f>"3.5"</f>
        <v>3.5</v>
      </c>
      <c r="X160" t="s">
        <v>238</v>
      </c>
      <c r="AA160" t="s">
        <v>94</v>
      </c>
      <c r="AB160" t="s">
        <v>95</v>
      </c>
      <c r="AC160" t="s">
        <v>96</v>
      </c>
      <c r="AD160" t="s">
        <v>95</v>
      </c>
      <c r="AE160" t="s">
        <v>95</v>
      </c>
      <c r="AF160" t="s">
        <v>95</v>
      </c>
      <c r="AN160" t="s">
        <v>95</v>
      </c>
      <c r="AQ160" s="1">
        <v>46267</v>
      </c>
      <c r="AS160">
        <v>5720</v>
      </c>
      <c r="AT160" t="s">
        <v>117</v>
      </c>
      <c r="AU160" t="s">
        <v>164</v>
      </c>
      <c r="AV160">
        <v>18773</v>
      </c>
      <c r="AW160">
        <v>18773</v>
      </c>
      <c r="AX160">
        <v>13658</v>
      </c>
      <c r="AY160">
        <v>0</v>
      </c>
      <c r="AZ160" s="1">
        <v>46357</v>
      </c>
      <c r="BB160">
        <v>494265</v>
      </c>
      <c r="BC160" t="s">
        <v>99</v>
      </c>
      <c r="BD160" t="s">
        <v>233</v>
      </c>
      <c r="BE160" t="s">
        <v>160</v>
      </c>
      <c r="BG160" t="s">
        <v>100</v>
      </c>
      <c r="BH160" t="str">
        <f t="shared" si="6"/>
        <v>720803940</v>
      </c>
      <c r="BI160" t="s">
        <v>101</v>
      </c>
      <c r="BJ160" t="s">
        <v>102</v>
      </c>
      <c r="BK160" t="s">
        <v>102</v>
      </c>
      <c r="BL160">
        <v>811197608</v>
      </c>
      <c r="BM160">
        <v>4326631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815524239</v>
      </c>
      <c r="BT160">
        <v>99.47</v>
      </c>
      <c r="BU160">
        <v>0.53</v>
      </c>
      <c r="BV160">
        <v>0</v>
      </c>
      <c r="BW160">
        <v>0</v>
      </c>
      <c r="BX160">
        <v>0</v>
      </c>
      <c r="BY160">
        <v>0</v>
      </c>
      <c r="BZ160">
        <v>0</v>
      </c>
    </row>
    <row r="161" spans="1:78">
      <c r="A161" t="s">
        <v>205</v>
      </c>
      <c r="B161" t="s">
        <v>226</v>
      </c>
      <c r="C161" t="s">
        <v>227</v>
      </c>
      <c r="D161" t="s">
        <v>228</v>
      </c>
      <c r="E161">
        <v>6355</v>
      </c>
      <c r="F161" t="s">
        <v>229</v>
      </c>
      <c r="G161">
        <v>1452003</v>
      </c>
      <c r="H161">
        <v>1152090</v>
      </c>
      <c r="I161">
        <v>37100026</v>
      </c>
      <c r="J161">
        <v>426566</v>
      </c>
      <c r="L161" t="s">
        <v>230</v>
      </c>
      <c r="M161" t="s">
        <v>231</v>
      </c>
      <c r="N161" t="s">
        <v>87</v>
      </c>
      <c r="O161" t="s">
        <v>159</v>
      </c>
      <c r="P161" t="s">
        <v>159</v>
      </c>
      <c r="Q161" t="s">
        <v>112</v>
      </c>
      <c r="R161" t="s">
        <v>232</v>
      </c>
      <c r="S161" s="1">
        <v>46358</v>
      </c>
      <c r="T161" s="1">
        <v>46267</v>
      </c>
      <c r="U161">
        <v>13</v>
      </c>
      <c r="V161">
        <v>7</v>
      </c>
      <c r="W161" t="str">
        <f>"4.1"</f>
        <v>4.1</v>
      </c>
      <c r="X161" t="s">
        <v>239</v>
      </c>
      <c r="AA161" t="s">
        <v>94</v>
      </c>
      <c r="AB161" t="s">
        <v>95</v>
      </c>
      <c r="AC161" t="s">
        <v>96</v>
      </c>
      <c r="AD161" t="s">
        <v>95</v>
      </c>
      <c r="AE161" t="s">
        <v>95</v>
      </c>
      <c r="AF161" t="s">
        <v>123</v>
      </c>
      <c r="AN161" t="s">
        <v>123</v>
      </c>
      <c r="AO161" t="str">
        <f>"Herbert Diess serves as the Chair of the Nominations Committee, and the Company allows director elections every 3–4 years. We believe this should be at least every 2 years, ideally annually. "</f>
        <v xml:space="preserve">Herbert Diess serves as the Chair of the Nominations Committee, and the Company allows director elections every 3–4 years. We believe this should be at least every 2 years, ideally annually. </v>
      </c>
      <c r="AQ161" s="1">
        <v>46267</v>
      </c>
      <c r="AS161">
        <v>5700</v>
      </c>
      <c r="AT161" t="s">
        <v>117</v>
      </c>
      <c r="AU161" t="s">
        <v>169</v>
      </c>
      <c r="AV161">
        <v>18773</v>
      </c>
      <c r="AW161">
        <v>18773</v>
      </c>
      <c r="AX161">
        <v>13658</v>
      </c>
      <c r="AY161">
        <v>0</v>
      </c>
      <c r="AZ161" s="1">
        <v>46357</v>
      </c>
      <c r="BB161">
        <v>494265</v>
      </c>
      <c r="BC161" t="s">
        <v>99</v>
      </c>
      <c r="BD161" t="s">
        <v>233</v>
      </c>
      <c r="BE161" t="s">
        <v>160</v>
      </c>
      <c r="BG161" t="s">
        <v>100</v>
      </c>
      <c r="BH161" t="str">
        <f t="shared" si="6"/>
        <v>720803940</v>
      </c>
      <c r="BI161" t="s">
        <v>101</v>
      </c>
      <c r="BJ161" t="s">
        <v>123</v>
      </c>
      <c r="BK161" t="s">
        <v>123</v>
      </c>
      <c r="BL161">
        <v>806127384</v>
      </c>
      <c r="BM161">
        <v>5467528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811594912</v>
      </c>
      <c r="BT161">
        <v>99.33</v>
      </c>
      <c r="BU161">
        <v>0.67</v>
      </c>
      <c r="BV161">
        <v>0</v>
      </c>
      <c r="BW161">
        <v>0</v>
      </c>
      <c r="BX161">
        <v>0</v>
      </c>
      <c r="BY161">
        <v>0</v>
      </c>
      <c r="BZ161">
        <v>0</v>
      </c>
    </row>
    <row r="162" spans="1:78">
      <c r="A162" t="s">
        <v>205</v>
      </c>
      <c r="B162" t="s">
        <v>226</v>
      </c>
      <c r="C162" t="s">
        <v>227</v>
      </c>
      <c r="D162" t="s">
        <v>228</v>
      </c>
      <c r="E162">
        <v>6355</v>
      </c>
      <c r="F162" t="s">
        <v>229</v>
      </c>
      <c r="G162">
        <v>1452003</v>
      </c>
      <c r="H162">
        <v>1152090</v>
      </c>
      <c r="I162">
        <v>37100026</v>
      </c>
      <c r="J162">
        <v>426566</v>
      </c>
      <c r="L162" t="s">
        <v>230</v>
      </c>
      <c r="M162" t="s">
        <v>231</v>
      </c>
      <c r="N162" t="s">
        <v>87</v>
      </c>
      <c r="O162" t="s">
        <v>159</v>
      </c>
      <c r="P162" t="s">
        <v>159</v>
      </c>
      <c r="Q162" t="s">
        <v>112</v>
      </c>
      <c r="R162" t="s">
        <v>232</v>
      </c>
      <c r="S162" s="1">
        <v>46358</v>
      </c>
      <c r="T162" s="1">
        <v>46267</v>
      </c>
      <c r="U162">
        <v>14</v>
      </c>
      <c r="V162">
        <v>8</v>
      </c>
      <c r="W162" t="str">
        <f>"4.2"</f>
        <v>4.2</v>
      </c>
      <c r="X162" t="s">
        <v>240</v>
      </c>
      <c r="AA162" t="s">
        <v>94</v>
      </c>
      <c r="AB162" t="s">
        <v>95</v>
      </c>
      <c r="AC162" t="s">
        <v>96</v>
      </c>
      <c r="AD162" t="s">
        <v>95</v>
      </c>
      <c r="AE162" t="s">
        <v>95</v>
      </c>
      <c r="AF162" t="s">
        <v>95</v>
      </c>
      <c r="AN162" t="s">
        <v>95</v>
      </c>
      <c r="AQ162" s="1">
        <v>46267</v>
      </c>
      <c r="AS162">
        <v>5700</v>
      </c>
      <c r="AT162" t="s">
        <v>117</v>
      </c>
      <c r="AU162" t="s">
        <v>169</v>
      </c>
      <c r="AV162">
        <v>18773</v>
      </c>
      <c r="AW162">
        <v>18773</v>
      </c>
      <c r="AX162">
        <v>13658</v>
      </c>
      <c r="AY162">
        <v>0</v>
      </c>
      <c r="AZ162" s="1">
        <v>46357</v>
      </c>
      <c r="BB162">
        <v>494265</v>
      </c>
      <c r="BC162" t="s">
        <v>99</v>
      </c>
      <c r="BD162" t="s">
        <v>233</v>
      </c>
      <c r="BE162" t="s">
        <v>160</v>
      </c>
      <c r="BG162" t="s">
        <v>100</v>
      </c>
      <c r="BH162" t="str">
        <f t="shared" si="6"/>
        <v>720803940</v>
      </c>
      <c r="BI162" t="s">
        <v>101</v>
      </c>
      <c r="BJ162" t="s">
        <v>102</v>
      </c>
      <c r="BK162" t="s">
        <v>102</v>
      </c>
      <c r="BL162">
        <v>811099989</v>
      </c>
      <c r="BM162">
        <v>4375879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815475868</v>
      </c>
      <c r="BT162">
        <v>99.46</v>
      </c>
      <c r="BU162">
        <v>0.54</v>
      </c>
      <c r="BV162">
        <v>0</v>
      </c>
      <c r="BW162">
        <v>0</v>
      </c>
      <c r="BX162">
        <v>0</v>
      </c>
      <c r="BY162">
        <v>0</v>
      </c>
      <c r="BZ162">
        <v>0</v>
      </c>
    </row>
    <row r="163" spans="1:78">
      <c r="A163" t="s">
        <v>205</v>
      </c>
      <c r="B163" t="s">
        <v>226</v>
      </c>
      <c r="C163" t="s">
        <v>227</v>
      </c>
      <c r="D163" t="s">
        <v>228</v>
      </c>
      <c r="E163">
        <v>6355</v>
      </c>
      <c r="F163" t="s">
        <v>229</v>
      </c>
      <c r="G163">
        <v>1452003</v>
      </c>
      <c r="H163">
        <v>1152090</v>
      </c>
      <c r="I163">
        <v>37100026</v>
      </c>
      <c r="J163">
        <v>426566</v>
      </c>
      <c r="L163" t="s">
        <v>230</v>
      </c>
      <c r="M163" t="s">
        <v>231</v>
      </c>
      <c r="N163" t="s">
        <v>87</v>
      </c>
      <c r="O163" t="s">
        <v>159</v>
      </c>
      <c r="P163" t="s">
        <v>159</v>
      </c>
      <c r="Q163" t="s">
        <v>112</v>
      </c>
      <c r="R163" t="s">
        <v>232</v>
      </c>
      <c r="S163" s="1">
        <v>46358</v>
      </c>
      <c r="T163" s="1">
        <v>46267</v>
      </c>
      <c r="U163">
        <v>15</v>
      </c>
      <c r="V163">
        <v>9</v>
      </c>
      <c r="W163" t="str">
        <f>"4.3"</f>
        <v>4.3</v>
      </c>
      <c r="X163" t="s">
        <v>241</v>
      </c>
      <c r="AA163" t="s">
        <v>94</v>
      </c>
      <c r="AB163" t="s">
        <v>95</v>
      </c>
      <c r="AC163" t="s">
        <v>96</v>
      </c>
      <c r="AD163" t="s">
        <v>95</v>
      </c>
      <c r="AE163" t="s">
        <v>95</v>
      </c>
      <c r="AF163" t="s">
        <v>95</v>
      </c>
      <c r="AN163" t="s">
        <v>95</v>
      </c>
      <c r="AQ163" s="1">
        <v>46267</v>
      </c>
      <c r="AS163">
        <v>5700</v>
      </c>
      <c r="AT163" t="s">
        <v>117</v>
      </c>
      <c r="AU163" t="s">
        <v>169</v>
      </c>
      <c r="AV163">
        <v>18773</v>
      </c>
      <c r="AW163">
        <v>18773</v>
      </c>
      <c r="AX163">
        <v>13658</v>
      </c>
      <c r="AY163">
        <v>0</v>
      </c>
      <c r="AZ163" s="1">
        <v>46357</v>
      </c>
      <c r="BB163">
        <v>494265</v>
      </c>
      <c r="BC163" t="s">
        <v>99</v>
      </c>
      <c r="BD163" t="s">
        <v>233</v>
      </c>
      <c r="BE163" t="s">
        <v>160</v>
      </c>
      <c r="BG163" t="s">
        <v>100</v>
      </c>
      <c r="BH163" t="str">
        <f t="shared" ref="BH163:BH182" si="7">"720803940"</f>
        <v>720803940</v>
      </c>
      <c r="BI163" t="s">
        <v>101</v>
      </c>
      <c r="BJ163" t="s">
        <v>102</v>
      </c>
      <c r="BK163" t="s">
        <v>102</v>
      </c>
      <c r="BL163">
        <v>811174522</v>
      </c>
      <c r="BM163">
        <v>4322464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815496986</v>
      </c>
      <c r="BT163">
        <v>99.47</v>
      </c>
      <c r="BU163">
        <v>0.53</v>
      </c>
      <c r="BV163">
        <v>0</v>
      </c>
      <c r="BW163">
        <v>0</v>
      </c>
      <c r="BX163">
        <v>0</v>
      </c>
      <c r="BY163">
        <v>0</v>
      </c>
      <c r="BZ163">
        <v>0</v>
      </c>
    </row>
    <row r="164" spans="1:78">
      <c r="A164" t="s">
        <v>205</v>
      </c>
      <c r="B164" t="s">
        <v>226</v>
      </c>
      <c r="C164" t="s">
        <v>227</v>
      </c>
      <c r="D164" t="s">
        <v>228</v>
      </c>
      <c r="E164">
        <v>6355</v>
      </c>
      <c r="F164" t="s">
        <v>229</v>
      </c>
      <c r="G164">
        <v>1452003</v>
      </c>
      <c r="H164">
        <v>1152090</v>
      </c>
      <c r="I164">
        <v>37100026</v>
      </c>
      <c r="J164">
        <v>426566</v>
      </c>
      <c r="L164" t="s">
        <v>230</v>
      </c>
      <c r="M164" t="s">
        <v>231</v>
      </c>
      <c r="N164" t="s">
        <v>87</v>
      </c>
      <c r="O164" t="s">
        <v>159</v>
      </c>
      <c r="P164" t="s">
        <v>159</v>
      </c>
      <c r="Q164" t="s">
        <v>112</v>
      </c>
      <c r="R164" t="s">
        <v>232</v>
      </c>
      <c r="S164" s="1">
        <v>46358</v>
      </c>
      <c r="T164" s="1">
        <v>46267</v>
      </c>
      <c r="U164">
        <v>16</v>
      </c>
      <c r="V164">
        <v>10</v>
      </c>
      <c r="W164" t="str">
        <f>"4.4"</f>
        <v>4.4</v>
      </c>
      <c r="X164" t="s">
        <v>242</v>
      </c>
      <c r="AA164" t="s">
        <v>94</v>
      </c>
      <c r="AB164" t="s">
        <v>95</v>
      </c>
      <c r="AC164" t="s">
        <v>96</v>
      </c>
      <c r="AD164" t="s">
        <v>95</v>
      </c>
      <c r="AE164" t="s">
        <v>95</v>
      </c>
      <c r="AF164" t="s">
        <v>95</v>
      </c>
      <c r="AN164" t="s">
        <v>95</v>
      </c>
      <c r="AQ164" s="1">
        <v>46267</v>
      </c>
      <c r="AS164">
        <v>5700</v>
      </c>
      <c r="AT164" t="s">
        <v>117</v>
      </c>
      <c r="AU164" t="s">
        <v>169</v>
      </c>
      <c r="AV164">
        <v>18773</v>
      </c>
      <c r="AW164">
        <v>18773</v>
      </c>
      <c r="AX164">
        <v>13658</v>
      </c>
      <c r="AY164">
        <v>0</v>
      </c>
      <c r="AZ164" s="1">
        <v>46357</v>
      </c>
      <c r="BB164">
        <v>494265</v>
      </c>
      <c r="BC164" t="s">
        <v>99</v>
      </c>
      <c r="BD164" t="s">
        <v>233</v>
      </c>
      <c r="BE164" t="s">
        <v>160</v>
      </c>
      <c r="BG164" t="s">
        <v>100</v>
      </c>
      <c r="BH164" t="str">
        <f t="shared" si="7"/>
        <v>720803940</v>
      </c>
      <c r="BI164" t="s">
        <v>101</v>
      </c>
      <c r="BJ164" t="s">
        <v>102</v>
      </c>
      <c r="BK164" t="s">
        <v>102</v>
      </c>
      <c r="BL164">
        <v>807350500</v>
      </c>
      <c r="BM164">
        <v>4558283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811908783</v>
      </c>
      <c r="BT164">
        <v>99.44</v>
      </c>
      <c r="BU164">
        <v>0.56000000000000005</v>
      </c>
      <c r="BV164">
        <v>0</v>
      </c>
      <c r="BW164">
        <v>0</v>
      </c>
      <c r="BX164">
        <v>0</v>
      </c>
      <c r="BY164">
        <v>0</v>
      </c>
      <c r="BZ164">
        <v>0</v>
      </c>
    </row>
    <row r="165" spans="1:78">
      <c r="A165" t="s">
        <v>205</v>
      </c>
      <c r="B165" t="s">
        <v>226</v>
      </c>
      <c r="C165" t="s">
        <v>227</v>
      </c>
      <c r="D165" t="s">
        <v>228</v>
      </c>
      <c r="E165">
        <v>6355</v>
      </c>
      <c r="F165" t="s">
        <v>229</v>
      </c>
      <c r="G165">
        <v>1452003</v>
      </c>
      <c r="H165">
        <v>1152090</v>
      </c>
      <c r="I165">
        <v>37100026</v>
      </c>
      <c r="J165">
        <v>426566</v>
      </c>
      <c r="L165" t="s">
        <v>230</v>
      </c>
      <c r="M165" t="s">
        <v>231</v>
      </c>
      <c r="N165" t="s">
        <v>87</v>
      </c>
      <c r="O165" t="s">
        <v>159</v>
      </c>
      <c r="P165" t="s">
        <v>159</v>
      </c>
      <c r="Q165" t="s">
        <v>112</v>
      </c>
      <c r="R165" t="s">
        <v>232</v>
      </c>
      <c r="S165" s="1">
        <v>46358</v>
      </c>
      <c r="T165" s="1">
        <v>46267</v>
      </c>
      <c r="U165">
        <v>17</v>
      </c>
      <c r="V165">
        <v>11</v>
      </c>
      <c r="W165" t="str">
        <f>"4.5"</f>
        <v>4.5</v>
      </c>
      <c r="X165" t="s">
        <v>243</v>
      </c>
      <c r="AA165" t="s">
        <v>94</v>
      </c>
      <c r="AB165" t="s">
        <v>95</v>
      </c>
      <c r="AC165" t="s">
        <v>96</v>
      </c>
      <c r="AD165" t="s">
        <v>95</v>
      </c>
      <c r="AE165" t="s">
        <v>95</v>
      </c>
      <c r="AF165" t="s">
        <v>95</v>
      </c>
      <c r="AN165" t="s">
        <v>95</v>
      </c>
      <c r="AQ165" s="1">
        <v>46267</v>
      </c>
      <c r="AS165">
        <v>5700</v>
      </c>
      <c r="AT165" t="s">
        <v>117</v>
      </c>
      <c r="AU165" t="s">
        <v>169</v>
      </c>
      <c r="AV165">
        <v>18773</v>
      </c>
      <c r="AW165">
        <v>18773</v>
      </c>
      <c r="AX165">
        <v>13658</v>
      </c>
      <c r="AY165">
        <v>0</v>
      </c>
      <c r="AZ165" s="1">
        <v>46357</v>
      </c>
      <c r="BB165">
        <v>494265</v>
      </c>
      <c r="BC165" t="s">
        <v>99</v>
      </c>
      <c r="BD165" t="s">
        <v>233</v>
      </c>
      <c r="BE165" t="s">
        <v>160</v>
      </c>
      <c r="BG165" t="s">
        <v>100</v>
      </c>
      <c r="BH165" t="str">
        <f t="shared" si="7"/>
        <v>720803940</v>
      </c>
      <c r="BI165" t="s">
        <v>101</v>
      </c>
      <c r="BJ165" t="s">
        <v>102</v>
      </c>
      <c r="BK165" t="s">
        <v>102</v>
      </c>
      <c r="BL165">
        <v>811154089</v>
      </c>
      <c r="BM165">
        <v>4334497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815488586</v>
      </c>
      <c r="BT165">
        <v>99.47</v>
      </c>
      <c r="BU165">
        <v>0.53</v>
      </c>
      <c r="BV165">
        <v>0</v>
      </c>
      <c r="BW165">
        <v>0</v>
      </c>
      <c r="BX165">
        <v>0</v>
      </c>
      <c r="BY165">
        <v>0</v>
      </c>
      <c r="BZ165">
        <v>0</v>
      </c>
    </row>
    <row r="166" spans="1:78">
      <c r="A166" t="s">
        <v>205</v>
      </c>
      <c r="B166" t="s">
        <v>226</v>
      </c>
      <c r="C166" t="s">
        <v>227</v>
      </c>
      <c r="D166" t="s">
        <v>228</v>
      </c>
      <c r="E166">
        <v>6355</v>
      </c>
      <c r="F166" t="s">
        <v>229</v>
      </c>
      <c r="G166">
        <v>1452003</v>
      </c>
      <c r="H166">
        <v>1152090</v>
      </c>
      <c r="I166">
        <v>37100026</v>
      </c>
      <c r="J166">
        <v>426566</v>
      </c>
      <c r="L166" t="s">
        <v>230</v>
      </c>
      <c r="M166" t="s">
        <v>231</v>
      </c>
      <c r="N166" t="s">
        <v>87</v>
      </c>
      <c r="O166" t="s">
        <v>159</v>
      </c>
      <c r="P166" t="s">
        <v>159</v>
      </c>
      <c r="Q166" t="s">
        <v>112</v>
      </c>
      <c r="R166" t="s">
        <v>232</v>
      </c>
      <c r="S166" s="1">
        <v>46358</v>
      </c>
      <c r="T166" s="1">
        <v>46267</v>
      </c>
      <c r="U166">
        <v>18</v>
      </c>
      <c r="V166">
        <v>12</v>
      </c>
      <c r="W166" t="str">
        <f>"4.6"</f>
        <v>4.6</v>
      </c>
      <c r="X166" t="s">
        <v>244</v>
      </c>
      <c r="AA166" t="s">
        <v>94</v>
      </c>
      <c r="AB166" t="s">
        <v>95</v>
      </c>
      <c r="AC166" t="s">
        <v>96</v>
      </c>
      <c r="AD166" t="s">
        <v>95</v>
      </c>
      <c r="AE166" t="s">
        <v>95</v>
      </c>
      <c r="AF166" t="s">
        <v>95</v>
      </c>
      <c r="AN166" t="s">
        <v>95</v>
      </c>
      <c r="AQ166" s="1">
        <v>46267</v>
      </c>
      <c r="AS166">
        <v>5700</v>
      </c>
      <c r="AT166" t="s">
        <v>117</v>
      </c>
      <c r="AU166" t="s">
        <v>169</v>
      </c>
      <c r="AV166">
        <v>18773</v>
      </c>
      <c r="AW166">
        <v>18773</v>
      </c>
      <c r="AX166">
        <v>13658</v>
      </c>
      <c r="AY166">
        <v>0</v>
      </c>
      <c r="AZ166" s="1">
        <v>46357</v>
      </c>
      <c r="BB166">
        <v>494265</v>
      </c>
      <c r="BC166" t="s">
        <v>99</v>
      </c>
      <c r="BD166" t="s">
        <v>233</v>
      </c>
      <c r="BE166" t="s">
        <v>160</v>
      </c>
      <c r="BG166" t="s">
        <v>100</v>
      </c>
      <c r="BH166" t="str">
        <f t="shared" si="7"/>
        <v>720803940</v>
      </c>
      <c r="BI166" t="s">
        <v>101</v>
      </c>
      <c r="BJ166" t="s">
        <v>102</v>
      </c>
      <c r="BK166" t="s">
        <v>102</v>
      </c>
      <c r="BL166">
        <v>811153755</v>
      </c>
      <c r="BM166">
        <v>4346253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815500008</v>
      </c>
      <c r="BT166">
        <v>99.47</v>
      </c>
      <c r="BU166">
        <v>0.53</v>
      </c>
      <c r="BV166">
        <v>0</v>
      </c>
      <c r="BW166">
        <v>0</v>
      </c>
      <c r="BX166">
        <v>0</v>
      </c>
      <c r="BY166">
        <v>0</v>
      </c>
      <c r="BZ166">
        <v>0</v>
      </c>
    </row>
    <row r="167" spans="1:78">
      <c r="A167" t="s">
        <v>205</v>
      </c>
      <c r="B167" t="s">
        <v>226</v>
      </c>
      <c r="C167" t="s">
        <v>227</v>
      </c>
      <c r="D167" t="s">
        <v>228</v>
      </c>
      <c r="E167">
        <v>6355</v>
      </c>
      <c r="F167" t="s">
        <v>229</v>
      </c>
      <c r="G167">
        <v>1452003</v>
      </c>
      <c r="H167">
        <v>1152090</v>
      </c>
      <c r="I167">
        <v>37100026</v>
      </c>
      <c r="J167">
        <v>426566</v>
      </c>
      <c r="L167" t="s">
        <v>230</v>
      </c>
      <c r="M167" t="s">
        <v>231</v>
      </c>
      <c r="N167" t="s">
        <v>87</v>
      </c>
      <c r="O167" t="s">
        <v>159</v>
      </c>
      <c r="P167" t="s">
        <v>159</v>
      </c>
      <c r="Q167" t="s">
        <v>112</v>
      </c>
      <c r="R167" t="s">
        <v>232</v>
      </c>
      <c r="S167" s="1">
        <v>46358</v>
      </c>
      <c r="T167" s="1">
        <v>46267</v>
      </c>
      <c r="U167">
        <v>19</v>
      </c>
      <c r="V167">
        <v>13</v>
      </c>
      <c r="W167" t="str">
        <f>"4.7"</f>
        <v>4.7</v>
      </c>
      <c r="X167" t="s">
        <v>245</v>
      </c>
      <c r="AA167" t="s">
        <v>94</v>
      </c>
      <c r="AB167" t="s">
        <v>95</v>
      </c>
      <c r="AC167" t="s">
        <v>96</v>
      </c>
      <c r="AD167" t="s">
        <v>95</v>
      </c>
      <c r="AE167" t="s">
        <v>95</v>
      </c>
      <c r="AF167" t="s">
        <v>95</v>
      </c>
      <c r="AN167" t="s">
        <v>95</v>
      </c>
      <c r="AQ167" s="1">
        <v>46267</v>
      </c>
      <c r="AS167">
        <v>5700</v>
      </c>
      <c r="AT167" t="s">
        <v>117</v>
      </c>
      <c r="AU167" t="s">
        <v>169</v>
      </c>
      <c r="AV167">
        <v>18773</v>
      </c>
      <c r="AW167">
        <v>18773</v>
      </c>
      <c r="AX167">
        <v>13658</v>
      </c>
      <c r="AY167">
        <v>0</v>
      </c>
      <c r="AZ167" s="1">
        <v>46357</v>
      </c>
      <c r="BB167">
        <v>494265</v>
      </c>
      <c r="BC167" t="s">
        <v>99</v>
      </c>
      <c r="BD167" t="s">
        <v>233</v>
      </c>
      <c r="BE167" t="s">
        <v>160</v>
      </c>
      <c r="BG167" t="s">
        <v>100</v>
      </c>
      <c r="BH167" t="str">
        <f t="shared" si="7"/>
        <v>720803940</v>
      </c>
      <c r="BI167" t="s">
        <v>101</v>
      </c>
      <c r="BJ167" t="s">
        <v>102</v>
      </c>
      <c r="BK167" t="s">
        <v>102</v>
      </c>
      <c r="BL167">
        <v>811193133</v>
      </c>
      <c r="BM167">
        <v>4321855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815514988</v>
      </c>
      <c r="BT167">
        <v>99.47</v>
      </c>
      <c r="BU167">
        <v>0.53</v>
      </c>
      <c r="BV167">
        <v>0</v>
      </c>
      <c r="BW167">
        <v>0</v>
      </c>
      <c r="BX167">
        <v>0</v>
      </c>
      <c r="BY167">
        <v>0</v>
      </c>
      <c r="BZ167">
        <v>0</v>
      </c>
    </row>
    <row r="168" spans="1:78">
      <c r="A168" t="s">
        <v>205</v>
      </c>
      <c r="B168" t="s">
        <v>226</v>
      </c>
      <c r="C168" t="s">
        <v>227</v>
      </c>
      <c r="D168" t="s">
        <v>228</v>
      </c>
      <c r="E168">
        <v>6355</v>
      </c>
      <c r="F168" t="s">
        <v>229</v>
      </c>
      <c r="G168">
        <v>1452003</v>
      </c>
      <c r="H168">
        <v>1152090</v>
      </c>
      <c r="I168">
        <v>37100026</v>
      </c>
      <c r="J168">
        <v>426566</v>
      </c>
      <c r="L168" t="s">
        <v>230</v>
      </c>
      <c r="M168" t="s">
        <v>231</v>
      </c>
      <c r="N168" t="s">
        <v>87</v>
      </c>
      <c r="O168" t="s">
        <v>159</v>
      </c>
      <c r="P168" t="s">
        <v>159</v>
      </c>
      <c r="Q168" t="s">
        <v>112</v>
      </c>
      <c r="R168" t="s">
        <v>232</v>
      </c>
      <c r="S168" s="1">
        <v>46358</v>
      </c>
      <c r="T168" s="1">
        <v>46267</v>
      </c>
      <c r="U168">
        <v>20</v>
      </c>
      <c r="V168">
        <v>14</v>
      </c>
      <c r="W168" t="str">
        <f>"4.8"</f>
        <v>4.8</v>
      </c>
      <c r="X168" t="s">
        <v>246</v>
      </c>
      <c r="AA168" t="s">
        <v>94</v>
      </c>
      <c r="AB168" t="s">
        <v>95</v>
      </c>
      <c r="AC168" t="s">
        <v>96</v>
      </c>
      <c r="AD168" t="s">
        <v>95</v>
      </c>
      <c r="AE168" t="s">
        <v>95</v>
      </c>
      <c r="AF168" t="s">
        <v>95</v>
      </c>
      <c r="AN168" t="s">
        <v>95</v>
      </c>
      <c r="AQ168" s="1">
        <v>46267</v>
      </c>
      <c r="AS168">
        <v>5700</v>
      </c>
      <c r="AT168" t="s">
        <v>117</v>
      </c>
      <c r="AU168" t="s">
        <v>169</v>
      </c>
      <c r="AV168">
        <v>18773</v>
      </c>
      <c r="AW168">
        <v>18773</v>
      </c>
      <c r="AX168">
        <v>13658</v>
      </c>
      <c r="AY168">
        <v>0</v>
      </c>
      <c r="AZ168" s="1">
        <v>46357</v>
      </c>
      <c r="BB168">
        <v>494265</v>
      </c>
      <c r="BC168" t="s">
        <v>99</v>
      </c>
      <c r="BD168" t="s">
        <v>233</v>
      </c>
      <c r="BE168" t="s">
        <v>160</v>
      </c>
      <c r="BG168" t="s">
        <v>100</v>
      </c>
      <c r="BH168" t="str">
        <f t="shared" si="7"/>
        <v>720803940</v>
      </c>
      <c r="BI168" t="s">
        <v>101</v>
      </c>
      <c r="BJ168" t="s">
        <v>102</v>
      </c>
      <c r="BK168" t="s">
        <v>102</v>
      </c>
      <c r="BL168">
        <v>811180106</v>
      </c>
      <c r="BM168">
        <v>4320121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815500227</v>
      </c>
      <c r="BT168">
        <v>99.47</v>
      </c>
      <c r="BU168">
        <v>0.53</v>
      </c>
      <c r="BV168">
        <v>0</v>
      </c>
      <c r="BW168">
        <v>0</v>
      </c>
      <c r="BX168">
        <v>0</v>
      </c>
      <c r="BY168">
        <v>0</v>
      </c>
      <c r="BZ168">
        <v>0</v>
      </c>
    </row>
    <row r="169" spans="1:78">
      <c r="A169" t="s">
        <v>205</v>
      </c>
      <c r="B169" t="s">
        <v>226</v>
      </c>
      <c r="C169" t="s">
        <v>227</v>
      </c>
      <c r="D169" t="s">
        <v>228</v>
      </c>
      <c r="E169">
        <v>6355</v>
      </c>
      <c r="F169" t="s">
        <v>229</v>
      </c>
      <c r="G169">
        <v>1452003</v>
      </c>
      <c r="H169">
        <v>1152090</v>
      </c>
      <c r="I169">
        <v>37100026</v>
      </c>
      <c r="J169">
        <v>426566</v>
      </c>
      <c r="L169" t="s">
        <v>230</v>
      </c>
      <c r="M169" t="s">
        <v>231</v>
      </c>
      <c r="N169" t="s">
        <v>87</v>
      </c>
      <c r="O169" t="s">
        <v>159</v>
      </c>
      <c r="P169" t="s">
        <v>159</v>
      </c>
      <c r="Q169" t="s">
        <v>112</v>
      </c>
      <c r="R169" t="s">
        <v>232</v>
      </c>
      <c r="S169" s="1">
        <v>46358</v>
      </c>
      <c r="T169" s="1">
        <v>46267</v>
      </c>
      <c r="U169">
        <v>21</v>
      </c>
      <c r="V169">
        <v>15</v>
      </c>
      <c r="W169" t="str">
        <f>"4.9"</f>
        <v>4.9</v>
      </c>
      <c r="X169" t="s">
        <v>247</v>
      </c>
      <c r="AA169" t="s">
        <v>94</v>
      </c>
      <c r="AB169" t="s">
        <v>95</v>
      </c>
      <c r="AC169" t="s">
        <v>96</v>
      </c>
      <c r="AD169" t="s">
        <v>95</v>
      </c>
      <c r="AE169" t="s">
        <v>95</v>
      </c>
      <c r="AF169" t="s">
        <v>95</v>
      </c>
      <c r="AN169" t="s">
        <v>95</v>
      </c>
      <c r="AQ169" s="1">
        <v>46267</v>
      </c>
      <c r="AS169">
        <v>5700</v>
      </c>
      <c r="AT169" t="s">
        <v>117</v>
      </c>
      <c r="AU169" t="s">
        <v>169</v>
      </c>
      <c r="AV169">
        <v>18773</v>
      </c>
      <c r="AW169">
        <v>18773</v>
      </c>
      <c r="AX169">
        <v>13658</v>
      </c>
      <c r="AY169">
        <v>0</v>
      </c>
      <c r="AZ169" s="1">
        <v>46357</v>
      </c>
      <c r="BB169">
        <v>494265</v>
      </c>
      <c r="BC169" t="s">
        <v>99</v>
      </c>
      <c r="BD169" t="s">
        <v>233</v>
      </c>
      <c r="BE169" t="s">
        <v>160</v>
      </c>
      <c r="BG169" t="s">
        <v>100</v>
      </c>
      <c r="BH169" t="str">
        <f t="shared" si="7"/>
        <v>720803940</v>
      </c>
      <c r="BI169" t="s">
        <v>101</v>
      </c>
      <c r="BJ169" t="s">
        <v>102</v>
      </c>
      <c r="BK169" t="s">
        <v>102</v>
      </c>
      <c r="BL169">
        <v>811139910</v>
      </c>
      <c r="BM169">
        <v>4351313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815491223</v>
      </c>
      <c r="BT169">
        <v>99.47</v>
      </c>
      <c r="BU169">
        <v>0.53</v>
      </c>
      <c r="BV169">
        <v>0</v>
      </c>
      <c r="BW169">
        <v>0</v>
      </c>
      <c r="BX169">
        <v>0</v>
      </c>
      <c r="BY169">
        <v>0</v>
      </c>
      <c r="BZ169">
        <v>0</v>
      </c>
    </row>
    <row r="170" spans="1:78">
      <c r="A170" t="s">
        <v>205</v>
      </c>
      <c r="B170" t="s">
        <v>226</v>
      </c>
      <c r="C170" t="s">
        <v>227</v>
      </c>
      <c r="D170" t="s">
        <v>228</v>
      </c>
      <c r="E170">
        <v>6355</v>
      </c>
      <c r="F170" t="s">
        <v>229</v>
      </c>
      <c r="G170">
        <v>1452003</v>
      </c>
      <c r="H170">
        <v>1152090</v>
      </c>
      <c r="I170">
        <v>37100026</v>
      </c>
      <c r="J170">
        <v>426566</v>
      </c>
      <c r="L170" t="s">
        <v>230</v>
      </c>
      <c r="M170" t="s">
        <v>231</v>
      </c>
      <c r="N170" t="s">
        <v>87</v>
      </c>
      <c r="O170" t="s">
        <v>159</v>
      </c>
      <c r="P170" t="s">
        <v>159</v>
      </c>
      <c r="Q170" t="s">
        <v>112</v>
      </c>
      <c r="R170" t="s">
        <v>232</v>
      </c>
      <c r="S170" s="1">
        <v>46358</v>
      </c>
      <c r="T170" s="1">
        <v>46267</v>
      </c>
      <c r="U170">
        <v>22</v>
      </c>
      <c r="V170">
        <v>16</v>
      </c>
      <c r="W170" t="str">
        <f>"4.10"</f>
        <v>4.10</v>
      </c>
      <c r="X170" t="s">
        <v>248</v>
      </c>
      <c r="AA170" t="s">
        <v>94</v>
      </c>
      <c r="AB170" t="s">
        <v>95</v>
      </c>
      <c r="AC170" t="s">
        <v>96</v>
      </c>
      <c r="AD170" t="s">
        <v>95</v>
      </c>
      <c r="AE170" t="s">
        <v>95</v>
      </c>
      <c r="AF170" t="s">
        <v>95</v>
      </c>
      <c r="AN170" t="s">
        <v>95</v>
      </c>
      <c r="AQ170" s="1">
        <v>46267</v>
      </c>
      <c r="AS170">
        <v>5700</v>
      </c>
      <c r="AT170" t="s">
        <v>117</v>
      </c>
      <c r="AU170" t="s">
        <v>169</v>
      </c>
      <c r="AV170">
        <v>18773</v>
      </c>
      <c r="AW170">
        <v>18773</v>
      </c>
      <c r="AX170">
        <v>13658</v>
      </c>
      <c r="AY170">
        <v>0</v>
      </c>
      <c r="AZ170" s="1">
        <v>46357</v>
      </c>
      <c r="BB170">
        <v>494265</v>
      </c>
      <c r="BC170" t="s">
        <v>99</v>
      </c>
      <c r="BD170" t="s">
        <v>233</v>
      </c>
      <c r="BE170" t="s">
        <v>160</v>
      </c>
      <c r="BG170" t="s">
        <v>100</v>
      </c>
      <c r="BH170" t="str">
        <f t="shared" si="7"/>
        <v>720803940</v>
      </c>
      <c r="BI170" t="s">
        <v>101</v>
      </c>
      <c r="BJ170" t="s">
        <v>102</v>
      </c>
      <c r="BK170" t="s">
        <v>102</v>
      </c>
      <c r="BL170">
        <v>811161807</v>
      </c>
      <c r="BM170">
        <v>4332575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815494382</v>
      </c>
      <c r="BT170">
        <v>99.47</v>
      </c>
      <c r="BU170">
        <v>0.53</v>
      </c>
      <c r="BV170">
        <v>0</v>
      </c>
      <c r="BW170">
        <v>0</v>
      </c>
      <c r="BX170">
        <v>0</v>
      </c>
      <c r="BY170">
        <v>0</v>
      </c>
      <c r="BZ170">
        <v>0</v>
      </c>
    </row>
    <row r="171" spans="1:78">
      <c r="A171" t="s">
        <v>205</v>
      </c>
      <c r="B171" t="s">
        <v>226</v>
      </c>
      <c r="C171" t="s">
        <v>227</v>
      </c>
      <c r="D171" t="s">
        <v>228</v>
      </c>
      <c r="E171">
        <v>6355</v>
      </c>
      <c r="F171" t="s">
        <v>229</v>
      </c>
      <c r="G171">
        <v>1452003</v>
      </c>
      <c r="H171">
        <v>1152090</v>
      </c>
      <c r="I171">
        <v>37100026</v>
      </c>
      <c r="J171">
        <v>426566</v>
      </c>
      <c r="L171" t="s">
        <v>230</v>
      </c>
      <c r="M171" t="s">
        <v>231</v>
      </c>
      <c r="N171" t="s">
        <v>87</v>
      </c>
      <c r="O171" t="s">
        <v>159</v>
      </c>
      <c r="P171" t="s">
        <v>159</v>
      </c>
      <c r="Q171" t="s">
        <v>112</v>
      </c>
      <c r="R171" t="s">
        <v>232</v>
      </c>
      <c r="S171" s="1">
        <v>46358</v>
      </c>
      <c r="T171" s="1">
        <v>46267</v>
      </c>
      <c r="U171">
        <v>23</v>
      </c>
      <c r="V171">
        <v>17</v>
      </c>
      <c r="W171" t="str">
        <f>"4.11"</f>
        <v>4.11</v>
      </c>
      <c r="X171" t="s">
        <v>249</v>
      </c>
      <c r="AA171" t="s">
        <v>94</v>
      </c>
      <c r="AB171" t="s">
        <v>95</v>
      </c>
      <c r="AC171" t="s">
        <v>96</v>
      </c>
      <c r="AD171" t="s">
        <v>95</v>
      </c>
      <c r="AE171" t="s">
        <v>95</v>
      </c>
      <c r="AF171" t="s">
        <v>95</v>
      </c>
      <c r="AN171" t="s">
        <v>95</v>
      </c>
      <c r="AQ171" s="1">
        <v>46267</v>
      </c>
      <c r="AS171">
        <v>5700</v>
      </c>
      <c r="AT171" t="s">
        <v>117</v>
      </c>
      <c r="AU171" t="s">
        <v>169</v>
      </c>
      <c r="AV171">
        <v>18773</v>
      </c>
      <c r="AW171">
        <v>18773</v>
      </c>
      <c r="AX171">
        <v>13658</v>
      </c>
      <c r="AY171">
        <v>0</v>
      </c>
      <c r="AZ171" s="1">
        <v>46357</v>
      </c>
      <c r="BB171">
        <v>494265</v>
      </c>
      <c r="BC171" t="s">
        <v>99</v>
      </c>
      <c r="BD171" t="s">
        <v>233</v>
      </c>
      <c r="BE171" t="s">
        <v>160</v>
      </c>
      <c r="BG171" t="s">
        <v>100</v>
      </c>
      <c r="BH171" t="str">
        <f t="shared" si="7"/>
        <v>720803940</v>
      </c>
      <c r="BI171" t="s">
        <v>101</v>
      </c>
      <c r="BJ171" t="s">
        <v>102</v>
      </c>
      <c r="BK171" t="s">
        <v>102</v>
      </c>
      <c r="BL171">
        <v>811149641</v>
      </c>
      <c r="BM171">
        <v>4344251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815493892</v>
      </c>
      <c r="BT171">
        <v>99.47</v>
      </c>
      <c r="BU171">
        <v>0.53</v>
      </c>
      <c r="BV171">
        <v>0</v>
      </c>
      <c r="BW171">
        <v>0</v>
      </c>
      <c r="BX171">
        <v>0</v>
      </c>
      <c r="BY171">
        <v>0</v>
      </c>
      <c r="BZ171">
        <v>0</v>
      </c>
    </row>
    <row r="172" spans="1:78">
      <c r="A172" t="s">
        <v>205</v>
      </c>
      <c r="B172" t="s">
        <v>226</v>
      </c>
      <c r="C172" t="s">
        <v>227</v>
      </c>
      <c r="D172" t="s">
        <v>228</v>
      </c>
      <c r="E172">
        <v>6355</v>
      </c>
      <c r="F172" t="s">
        <v>229</v>
      </c>
      <c r="G172">
        <v>1452003</v>
      </c>
      <c r="H172">
        <v>1152090</v>
      </c>
      <c r="I172">
        <v>37100026</v>
      </c>
      <c r="J172">
        <v>426566</v>
      </c>
      <c r="L172" t="s">
        <v>230</v>
      </c>
      <c r="M172" t="s">
        <v>231</v>
      </c>
      <c r="N172" t="s">
        <v>87</v>
      </c>
      <c r="O172" t="s">
        <v>159</v>
      </c>
      <c r="P172" t="s">
        <v>159</v>
      </c>
      <c r="Q172" t="s">
        <v>112</v>
      </c>
      <c r="R172" t="s">
        <v>232</v>
      </c>
      <c r="S172" s="1">
        <v>46358</v>
      </c>
      <c r="T172" s="1">
        <v>46267</v>
      </c>
      <c r="U172">
        <v>24</v>
      </c>
      <c r="V172">
        <v>18</v>
      </c>
      <c r="W172" t="str">
        <f>"4.12"</f>
        <v>4.12</v>
      </c>
      <c r="X172" t="s">
        <v>250</v>
      </c>
      <c r="AA172" t="s">
        <v>94</v>
      </c>
      <c r="AB172" t="s">
        <v>95</v>
      </c>
      <c r="AC172" t="s">
        <v>96</v>
      </c>
      <c r="AD172" t="s">
        <v>95</v>
      </c>
      <c r="AE172" t="s">
        <v>95</v>
      </c>
      <c r="AF172" t="s">
        <v>95</v>
      </c>
      <c r="AN172" t="s">
        <v>95</v>
      </c>
      <c r="AQ172" s="1">
        <v>46267</v>
      </c>
      <c r="AS172">
        <v>5700</v>
      </c>
      <c r="AT172" t="s">
        <v>117</v>
      </c>
      <c r="AU172" t="s">
        <v>169</v>
      </c>
      <c r="AV172">
        <v>18773</v>
      </c>
      <c r="AW172">
        <v>18773</v>
      </c>
      <c r="AX172">
        <v>13658</v>
      </c>
      <c r="AY172">
        <v>0</v>
      </c>
      <c r="AZ172" s="1">
        <v>46357</v>
      </c>
      <c r="BB172">
        <v>494265</v>
      </c>
      <c r="BC172" t="s">
        <v>99</v>
      </c>
      <c r="BD172" t="s">
        <v>233</v>
      </c>
      <c r="BE172" t="s">
        <v>160</v>
      </c>
      <c r="BG172" t="s">
        <v>100</v>
      </c>
      <c r="BH172" t="str">
        <f t="shared" si="7"/>
        <v>720803940</v>
      </c>
      <c r="BI172" t="s">
        <v>101</v>
      </c>
      <c r="BJ172" t="s">
        <v>102</v>
      </c>
      <c r="BK172" t="s">
        <v>102</v>
      </c>
      <c r="BL172">
        <v>811126603</v>
      </c>
      <c r="BM172">
        <v>4334758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815461361</v>
      </c>
      <c r="BT172">
        <v>99.47</v>
      </c>
      <c r="BU172">
        <v>0.53</v>
      </c>
      <c r="BV172">
        <v>0</v>
      </c>
      <c r="BW172">
        <v>0</v>
      </c>
      <c r="BX172">
        <v>0</v>
      </c>
      <c r="BY172">
        <v>0</v>
      </c>
      <c r="BZ172">
        <v>0</v>
      </c>
    </row>
    <row r="173" spans="1:78">
      <c r="A173" t="s">
        <v>205</v>
      </c>
      <c r="B173" t="s">
        <v>226</v>
      </c>
      <c r="C173" t="s">
        <v>227</v>
      </c>
      <c r="D173" t="s">
        <v>228</v>
      </c>
      <c r="E173">
        <v>6355</v>
      </c>
      <c r="F173" t="s">
        <v>229</v>
      </c>
      <c r="G173">
        <v>1452003</v>
      </c>
      <c r="H173">
        <v>1152090</v>
      </c>
      <c r="I173">
        <v>37100026</v>
      </c>
      <c r="J173">
        <v>426566</v>
      </c>
      <c r="L173" t="s">
        <v>230</v>
      </c>
      <c r="M173" t="s">
        <v>231</v>
      </c>
      <c r="N173" t="s">
        <v>87</v>
      </c>
      <c r="O173" t="s">
        <v>159</v>
      </c>
      <c r="P173" t="s">
        <v>159</v>
      </c>
      <c r="Q173" t="s">
        <v>112</v>
      </c>
      <c r="R173" t="s">
        <v>232</v>
      </c>
      <c r="S173" s="1">
        <v>46358</v>
      </c>
      <c r="T173" s="1">
        <v>46267</v>
      </c>
      <c r="U173">
        <v>25</v>
      </c>
      <c r="V173">
        <v>19</v>
      </c>
      <c r="W173" t="str">
        <f>"4.13"</f>
        <v>4.13</v>
      </c>
      <c r="X173" t="s">
        <v>251</v>
      </c>
      <c r="AA173" t="s">
        <v>94</v>
      </c>
      <c r="AB173" t="s">
        <v>95</v>
      </c>
      <c r="AC173" t="s">
        <v>96</v>
      </c>
      <c r="AD173" t="s">
        <v>95</v>
      </c>
      <c r="AE173" t="s">
        <v>95</v>
      </c>
      <c r="AF173" t="s">
        <v>95</v>
      </c>
      <c r="AN173" t="s">
        <v>95</v>
      </c>
      <c r="AQ173" s="1">
        <v>46267</v>
      </c>
      <c r="AS173">
        <v>5700</v>
      </c>
      <c r="AT173" t="s">
        <v>117</v>
      </c>
      <c r="AU173" t="s">
        <v>169</v>
      </c>
      <c r="AV173">
        <v>18773</v>
      </c>
      <c r="AW173">
        <v>18773</v>
      </c>
      <c r="AX173">
        <v>13658</v>
      </c>
      <c r="AY173">
        <v>0</v>
      </c>
      <c r="AZ173" s="1">
        <v>46357</v>
      </c>
      <c r="BB173">
        <v>494265</v>
      </c>
      <c r="BC173" t="s">
        <v>99</v>
      </c>
      <c r="BD173" t="s">
        <v>233</v>
      </c>
      <c r="BE173" t="s">
        <v>160</v>
      </c>
      <c r="BG173" t="s">
        <v>100</v>
      </c>
      <c r="BH173" t="str">
        <f t="shared" si="7"/>
        <v>720803940</v>
      </c>
      <c r="BI173" t="s">
        <v>101</v>
      </c>
      <c r="BJ173" t="s">
        <v>102</v>
      </c>
      <c r="BK173" t="s">
        <v>102</v>
      </c>
      <c r="BL173">
        <v>811167595</v>
      </c>
      <c r="BM173">
        <v>4332685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815500280</v>
      </c>
      <c r="BT173">
        <v>99.47</v>
      </c>
      <c r="BU173">
        <v>0.53</v>
      </c>
      <c r="BV173">
        <v>0</v>
      </c>
      <c r="BW173">
        <v>0</v>
      </c>
      <c r="BX173">
        <v>0</v>
      </c>
      <c r="BY173">
        <v>0</v>
      </c>
      <c r="BZ173">
        <v>0</v>
      </c>
    </row>
    <row r="174" spans="1:78">
      <c r="A174" t="s">
        <v>205</v>
      </c>
      <c r="B174" t="s">
        <v>226</v>
      </c>
      <c r="C174" t="s">
        <v>227</v>
      </c>
      <c r="D174" t="s">
        <v>228</v>
      </c>
      <c r="E174">
        <v>6355</v>
      </c>
      <c r="F174" t="s">
        <v>229</v>
      </c>
      <c r="G174">
        <v>1452003</v>
      </c>
      <c r="H174">
        <v>1152090</v>
      </c>
      <c r="I174">
        <v>37100026</v>
      </c>
      <c r="J174">
        <v>426566</v>
      </c>
      <c r="L174" t="s">
        <v>230</v>
      </c>
      <c r="M174" t="s">
        <v>231</v>
      </c>
      <c r="N174" t="s">
        <v>87</v>
      </c>
      <c r="O174" t="s">
        <v>159</v>
      </c>
      <c r="P174" t="s">
        <v>159</v>
      </c>
      <c r="Q174" t="s">
        <v>112</v>
      </c>
      <c r="R174" t="s">
        <v>232</v>
      </c>
      <c r="S174" s="1">
        <v>46358</v>
      </c>
      <c r="T174" s="1">
        <v>46267</v>
      </c>
      <c r="U174">
        <v>26</v>
      </c>
      <c r="V174">
        <v>20</v>
      </c>
      <c r="W174" t="str">
        <f>"4.14"</f>
        <v>4.14</v>
      </c>
      <c r="X174" t="s">
        <v>252</v>
      </c>
      <c r="AA174" t="s">
        <v>94</v>
      </c>
      <c r="AB174" t="s">
        <v>95</v>
      </c>
      <c r="AC174" t="s">
        <v>96</v>
      </c>
      <c r="AD174" t="s">
        <v>95</v>
      </c>
      <c r="AE174" t="s">
        <v>95</v>
      </c>
      <c r="AF174" t="s">
        <v>95</v>
      </c>
      <c r="AN174" t="s">
        <v>95</v>
      </c>
      <c r="AQ174" s="1">
        <v>46267</v>
      </c>
      <c r="AS174">
        <v>5700</v>
      </c>
      <c r="AT174" t="s">
        <v>117</v>
      </c>
      <c r="AU174" t="s">
        <v>169</v>
      </c>
      <c r="AV174">
        <v>18773</v>
      </c>
      <c r="AW174">
        <v>18773</v>
      </c>
      <c r="AX174">
        <v>13658</v>
      </c>
      <c r="AY174">
        <v>0</v>
      </c>
      <c r="AZ174" s="1">
        <v>46357</v>
      </c>
      <c r="BB174">
        <v>494265</v>
      </c>
      <c r="BC174" t="s">
        <v>99</v>
      </c>
      <c r="BD174" t="s">
        <v>233</v>
      </c>
      <c r="BE174" t="s">
        <v>160</v>
      </c>
      <c r="BG174" t="s">
        <v>100</v>
      </c>
      <c r="BH174" t="str">
        <f t="shared" si="7"/>
        <v>720803940</v>
      </c>
      <c r="BI174" t="s">
        <v>101</v>
      </c>
      <c r="BJ174" t="s">
        <v>102</v>
      </c>
      <c r="BK174" t="s">
        <v>102</v>
      </c>
      <c r="BL174">
        <v>807310025</v>
      </c>
      <c r="BM174">
        <v>4615548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811925573</v>
      </c>
      <c r="BT174">
        <v>99.43</v>
      </c>
      <c r="BU174">
        <v>0.56999999999999995</v>
      </c>
      <c r="BV174">
        <v>0</v>
      </c>
      <c r="BW174">
        <v>0</v>
      </c>
      <c r="BX174">
        <v>0</v>
      </c>
      <c r="BY174">
        <v>0</v>
      </c>
      <c r="BZ174">
        <v>0</v>
      </c>
    </row>
    <row r="175" spans="1:78">
      <c r="A175" t="s">
        <v>205</v>
      </c>
      <c r="B175" t="s">
        <v>226</v>
      </c>
      <c r="C175" t="s">
        <v>227</v>
      </c>
      <c r="D175" t="s">
        <v>228</v>
      </c>
      <c r="E175">
        <v>6355</v>
      </c>
      <c r="F175" t="s">
        <v>229</v>
      </c>
      <c r="G175">
        <v>1452003</v>
      </c>
      <c r="H175">
        <v>1152090</v>
      </c>
      <c r="I175">
        <v>37100026</v>
      </c>
      <c r="J175">
        <v>426566</v>
      </c>
      <c r="L175" t="s">
        <v>230</v>
      </c>
      <c r="M175" t="s">
        <v>231</v>
      </c>
      <c r="N175" t="s">
        <v>87</v>
      </c>
      <c r="O175" t="s">
        <v>159</v>
      </c>
      <c r="P175" t="s">
        <v>159</v>
      </c>
      <c r="Q175" t="s">
        <v>112</v>
      </c>
      <c r="R175" t="s">
        <v>232</v>
      </c>
      <c r="S175" s="1">
        <v>46358</v>
      </c>
      <c r="T175" s="1">
        <v>46267</v>
      </c>
      <c r="U175">
        <v>27</v>
      </c>
      <c r="V175">
        <v>21</v>
      </c>
      <c r="W175" t="str">
        <f>"4.15"</f>
        <v>4.15</v>
      </c>
      <c r="X175" t="s">
        <v>253</v>
      </c>
      <c r="AA175" t="s">
        <v>94</v>
      </c>
      <c r="AB175" t="s">
        <v>95</v>
      </c>
      <c r="AC175" t="s">
        <v>96</v>
      </c>
      <c r="AD175" t="s">
        <v>95</v>
      </c>
      <c r="AE175" t="s">
        <v>95</v>
      </c>
      <c r="AF175" t="s">
        <v>95</v>
      </c>
      <c r="AN175" t="s">
        <v>95</v>
      </c>
      <c r="AQ175" s="1">
        <v>46267</v>
      </c>
      <c r="AS175">
        <v>5700</v>
      </c>
      <c r="AT175" t="s">
        <v>117</v>
      </c>
      <c r="AU175" t="s">
        <v>169</v>
      </c>
      <c r="AV175">
        <v>18773</v>
      </c>
      <c r="AW175">
        <v>18773</v>
      </c>
      <c r="AX175">
        <v>13658</v>
      </c>
      <c r="AY175">
        <v>0</v>
      </c>
      <c r="AZ175" s="1">
        <v>46357</v>
      </c>
      <c r="BB175">
        <v>494265</v>
      </c>
      <c r="BC175" t="s">
        <v>99</v>
      </c>
      <c r="BD175" t="s">
        <v>233</v>
      </c>
      <c r="BE175" t="s">
        <v>160</v>
      </c>
      <c r="BG175" t="s">
        <v>100</v>
      </c>
      <c r="BH175" t="str">
        <f t="shared" si="7"/>
        <v>720803940</v>
      </c>
      <c r="BI175" t="s">
        <v>101</v>
      </c>
      <c r="BJ175" t="s">
        <v>102</v>
      </c>
      <c r="BK175" t="s">
        <v>102</v>
      </c>
      <c r="BL175">
        <v>811160381</v>
      </c>
      <c r="BM175">
        <v>4352808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815513189</v>
      </c>
      <c r="BT175">
        <v>99.47</v>
      </c>
      <c r="BU175">
        <v>0.53</v>
      </c>
      <c r="BV175">
        <v>0</v>
      </c>
      <c r="BW175">
        <v>0</v>
      </c>
      <c r="BX175">
        <v>0</v>
      </c>
      <c r="BY175">
        <v>0</v>
      </c>
      <c r="BZ175">
        <v>0</v>
      </c>
    </row>
    <row r="176" spans="1:78">
      <c r="A176" t="s">
        <v>205</v>
      </c>
      <c r="B176" t="s">
        <v>226</v>
      </c>
      <c r="C176" t="s">
        <v>227</v>
      </c>
      <c r="D176" t="s">
        <v>228</v>
      </c>
      <c r="E176">
        <v>6355</v>
      </c>
      <c r="F176" t="s">
        <v>229</v>
      </c>
      <c r="G176">
        <v>1452003</v>
      </c>
      <c r="H176">
        <v>1152090</v>
      </c>
      <c r="I176">
        <v>37100026</v>
      </c>
      <c r="J176">
        <v>426566</v>
      </c>
      <c r="L176" t="s">
        <v>230</v>
      </c>
      <c r="M176" t="s">
        <v>231</v>
      </c>
      <c r="N176" t="s">
        <v>87</v>
      </c>
      <c r="O176" t="s">
        <v>159</v>
      </c>
      <c r="P176" t="s">
        <v>159</v>
      </c>
      <c r="Q176" t="s">
        <v>112</v>
      </c>
      <c r="R176" t="s">
        <v>232</v>
      </c>
      <c r="S176" s="1">
        <v>46358</v>
      </c>
      <c r="T176" s="1">
        <v>46267</v>
      </c>
      <c r="U176">
        <v>28</v>
      </c>
      <c r="V176">
        <v>22</v>
      </c>
      <c r="W176" t="str">
        <f>"4.16"</f>
        <v>4.16</v>
      </c>
      <c r="X176" t="s">
        <v>254</v>
      </c>
      <c r="AA176" t="s">
        <v>94</v>
      </c>
      <c r="AB176" t="s">
        <v>95</v>
      </c>
      <c r="AC176" t="s">
        <v>96</v>
      </c>
      <c r="AD176" t="s">
        <v>95</v>
      </c>
      <c r="AE176" t="s">
        <v>95</v>
      </c>
      <c r="AF176" t="s">
        <v>95</v>
      </c>
      <c r="AN176" t="s">
        <v>95</v>
      </c>
      <c r="AQ176" s="1">
        <v>46267</v>
      </c>
      <c r="AS176">
        <v>5700</v>
      </c>
      <c r="AT176" t="s">
        <v>117</v>
      </c>
      <c r="AU176" t="s">
        <v>169</v>
      </c>
      <c r="AV176">
        <v>18773</v>
      </c>
      <c r="AW176">
        <v>18773</v>
      </c>
      <c r="AX176">
        <v>13658</v>
      </c>
      <c r="AY176">
        <v>0</v>
      </c>
      <c r="AZ176" s="1">
        <v>46357</v>
      </c>
      <c r="BB176">
        <v>494265</v>
      </c>
      <c r="BC176" t="s">
        <v>99</v>
      </c>
      <c r="BD176" t="s">
        <v>233</v>
      </c>
      <c r="BE176" t="s">
        <v>160</v>
      </c>
      <c r="BG176" t="s">
        <v>100</v>
      </c>
      <c r="BH176" t="str">
        <f t="shared" si="7"/>
        <v>720803940</v>
      </c>
      <c r="BI176" t="s">
        <v>101</v>
      </c>
      <c r="BJ176" t="s">
        <v>102</v>
      </c>
      <c r="BK176" t="s">
        <v>102</v>
      </c>
      <c r="BL176">
        <v>811135354</v>
      </c>
      <c r="BM176">
        <v>4358412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815493766</v>
      </c>
      <c r="BT176">
        <v>99.47</v>
      </c>
      <c r="BU176">
        <v>0.53</v>
      </c>
      <c r="BV176">
        <v>0</v>
      </c>
      <c r="BW176">
        <v>0</v>
      </c>
      <c r="BX176">
        <v>0</v>
      </c>
      <c r="BY176">
        <v>0</v>
      </c>
      <c r="BZ176">
        <v>0</v>
      </c>
    </row>
    <row r="177" spans="1:78">
      <c r="A177" t="s">
        <v>205</v>
      </c>
      <c r="B177" t="s">
        <v>226</v>
      </c>
      <c r="C177" t="s">
        <v>227</v>
      </c>
      <c r="D177" t="s">
        <v>228</v>
      </c>
      <c r="E177">
        <v>6355</v>
      </c>
      <c r="F177" t="s">
        <v>229</v>
      </c>
      <c r="G177">
        <v>1452003</v>
      </c>
      <c r="H177">
        <v>1152090</v>
      </c>
      <c r="I177">
        <v>37100026</v>
      </c>
      <c r="J177">
        <v>426566</v>
      </c>
      <c r="L177" t="s">
        <v>230</v>
      </c>
      <c r="M177" t="s">
        <v>231</v>
      </c>
      <c r="N177" t="s">
        <v>87</v>
      </c>
      <c r="O177" t="s">
        <v>159</v>
      </c>
      <c r="P177" t="s">
        <v>159</v>
      </c>
      <c r="Q177" t="s">
        <v>112</v>
      </c>
      <c r="R177" t="s">
        <v>232</v>
      </c>
      <c r="S177" s="1">
        <v>46358</v>
      </c>
      <c r="T177" s="1">
        <v>46267</v>
      </c>
      <c r="U177">
        <v>29</v>
      </c>
      <c r="V177">
        <v>23</v>
      </c>
      <c r="W177" t="str">
        <f>"4.17"</f>
        <v>4.17</v>
      </c>
      <c r="X177" t="s">
        <v>255</v>
      </c>
      <c r="AA177" t="s">
        <v>94</v>
      </c>
      <c r="AB177" t="s">
        <v>95</v>
      </c>
      <c r="AC177" t="s">
        <v>96</v>
      </c>
      <c r="AD177" t="s">
        <v>95</v>
      </c>
      <c r="AE177" t="s">
        <v>95</v>
      </c>
      <c r="AF177" t="s">
        <v>95</v>
      </c>
      <c r="AN177" t="s">
        <v>95</v>
      </c>
      <c r="AQ177" s="1">
        <v>46267</v>
      </c>
      <c r="AS177">
        <v>5700</v>
      </c>
      <c r="AT177" t="s">
        <v>117</v>
      </c>
      <c r="AU177" t="s">
        <v>169</v>
      </c>
      <c r="AV177">
        <v>18773</v>
      </c>
      <c r="AW177">
        <v>18773</v>
      </c>
      <c r="AX177">
        <v>13658</v>
      </c>
      <c r="AY177">
        <v>0</v>
      </c>
      <c r="AZ177" s="1">
        <v>46357</v>
      </c>
      <c r="BB177">
        <v>494265</v>
      </c>
      <c r="BC177" t="s">
        <v>99</v>
      </c>
      <c r="BD177" t="s">
        <v>233</v>
      </c>
      <c r="BE177" t="s">
        <v>160</v>
      </c>
      <c r="BG177" t="s">
        <v>100</v>
      </c>
      <c r="BH177" t="str">
        <f t="shared" si="7"/>
        <v>720803940</v>
      </c>
      <c r="BI177" t="s">
        <v>101</v>
      </c>
      <c r="BJ177" t="s">
        <v>102</v>
      </c>
      <c r="BK177" t="s">
        <v>102</v>
      </c>
      <c r="BL177">
        <v>811150957</v>
      </c>
      <c r="BM177">
        <v>4340905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815491862</v>
      </c>
      <c r="BT177">
        <v>99.47</v>
      </c>
      <c r="BU177">
        <v>0.53</v>
      </c>
      <c r="BV177">
        <v>0</v>
      </c>
      <c r="BW177">
        <v>0</v>
      </c>
      <c r="BX177">
        <v>0</v>
      </c>
      <c r="BY177">
        <v>0</v>
      </c>
      <c r="BZ177">
        <v>0</v>
      </c>
    </row>
    <row r="178" spans="1:78">
      <c r="A178" t="s">
        <v>205</v>
      </c>
      <c r="B178" t="s">
        <v>226</v>
      </c>
      <c r="C178" t="s">
        <v>227</v>
      </c>
      <c r="D178" t="s">
        <v>228</v>
      </c>
      <c r="E178">
        <v>6355</v>
      </c>
      <c r="F178" t="s">
        <v>229</v>
      </c>
      <c r="G178">
        <v>1452003</v>
      </c>
      <c r="H178">
        <v>1152090</v>
      </c>
      <c r="I178">
        <v>37100026</v>
      </c>
      <c r="J178">
        <v>426566</v>
      </c>
      <c r="L178" t="s">
        <v>230</v>
      </c>
      <c r="M178" t="s">
        <v>231</v>
      </c>
      <c r="N178" t="s">
        <v>87</v>
      </c>
      <c r="O178" t="s">
        <v>159</v>
      </c>
      <c r="P178" t="s">
        <v>159</v>
      </c>
      <c r="Q178" t="s">
        <v>112</v>
      </c>
      <c r="R178" t="s">
        <v>232</v>
      </c>
      <c r="S178" s="1">
        <v>46358</v>
      </c>
      <c r="T178" s="1">
        <v>46267</v>
      </c>
      <c r="U178">
        <v>30</v>
      </c>
      <c r="V178">
        <v>24</v>
      </c>
      <c r="W178" t="str">
        <f>"5"</f>
        <v>5</v>
      </c>
      <c r="X178" t="s">
        <v>190</v>
      </c>
      <c r="AA178" t="s">
        <v>94</v>
      </c>
      <c r="AB178" t="s">
        <v>95</v>
      </c>
      <c r="AC178" t="s">
        <v>96</v>
      </c>
      <c r="AD178" t="s">
        <v>95</v>
      </c>
      <c r="AE178" t="s">
        <v>95</v>
      </c>
      <c r="AF178" t="s">
        <v>95</v>
      </c>
      <c r="AN178" t="s">
        <v>95</v>
      </c>
      <c r="AQ178" s="1">
        <v>46267</v>
      </c>
      <c r="AS178">
        <v>5200</v>
      </c>
      <c r="AT178" t="s">
        <v>126</v>
      </c>
      <c r="AU178" t="s">
        <v>190</v>
      </c>
      <c r="AV178">
        <v>18773</v>
      </c>
      <c r="AW178">
        <v>18773</v>
      </c>
      <c r="AX178">
        <v>13658</v>
      </c>
      <c r="AY178">
        <v>0</v>
      </c>
      <c r="AZ178" s="1">
        <v>46357</v>
      </c>
      <c r="BB178">
        <v>494265</v>
      </c>
      <c r="BC178" t="s">
        <v>99</v>
      </c>
      <c r="BD178" t="s">
        <v>233</v>
      </c>
      <c r="BE178" t="s">
        <v>160</v>
      </c>
      <c r="BG178" t="s">
        <v>100</v>
      </c>
      <c r="BH178" t="str">
        <f t="shared" si="7"/>
        <v>720803940</v>
      </c>
      <c r="BI178" t="s">
        <v>101</v>
      </c>
      <c r="BJ178" t="s">
        <v>102</v>
      </c>
      <c r="BK178" t="s">
        <v>102</v>
      </c>
      <c r="BL178">
        <v>823659145</v>
      </c>
      <c r="BM178">
        <v>216259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823875404</v>
      </c>
      <c r="BT178">
        <v>99.97</v>
      </c>
      <c r="BU178">
        <v>0.03</v>
      </c>
      <c r="BV178">
        <v>0</v>
      </c>
      <c r="BW178">
        <v>0</v>
      </c>
      <c r="BX178">
        <v>0</v>
      </c>
      <c r="BY178">
        <v>0</v>
      </c>
      <c r="BZ178">
        <v>0</v>
      </c>
    </row>
    <row r="179" spans="1:78">
      <c r="A179" t="s">
        <v>205</v>
      </c>
      <c r="B179" t="s">
        <v>226</v>
      </c>
      <c r="C179" t="s">
        <v>227</v>
      </c>
      <c r="D179" t="s">
        <v>228</v>
      </c>
      <c r="E179">
        <v>6355</v>
      </c>
      <c r="F179" t="s">
        <v>229</v>
      </c>
      <c r="G179">
        <v>1452003</v>
      </c>
      <c r="H179">
        <v>1152090</v>
      </c>
      <c r="I179">
        <v>37100026</v>
      </c>
      <c r="J179">
        <v>426566</v>
      </c>
      <c r="L179" t="s">
        <v>230</v>
      </c>
      <c r="M179" t="s">
        <v>231</v>
      </c>
      <c r="N179" t="s">
        <v>87</v>
      </c>
      <c r="O179" t="s">
        <v>159</v>
      </c>
      <c r="P179" t="s">
        <v>159</v>
      </c>
      <c r="Q179" t="s">
        <v>112</v>
      </c>
      <c r="R179" t="s">
        <v>232</v>
      </c>
      <c r="S179" s="1">
        <v>46358</v>
      </c>
      <c r="T179" s="1">
        <v>46267</v>
      </c>
      <c r="U179">
        <v>31</v>
      </c>
      <c r="V179">
        <v>25</v>
      </c>
      <c r="W179" t="str">
        <f>"6"</f>
        <v>6</v>
      </c>
      <c r="X179" t="s">
        <v>191</v>
      </c>
      <c r="AA179" t="s">
        <v>94</v>
      </c>
      <c r="AB179" t="s">
        <v>95</v>
      </c>
      <c r="AC179" t="s">
        <v>96</v>
      </c>
      <c r="AD179" t="s">
        <v>95</v>
      </c>
      <c r="AE179" t="s">
        <v>95</v>
      </c>
      <c r="AF179" t="s">
        <v>95</v>
      </c>
      <c r="AN179" t="s">
        <v>95</v>
      </c>
      <c r="AQ179" s="1">
        <v>46267</v>
      </c>
      <c r="AS179">
        <v>5210</v>
      </c>
      <c r="AT179" t="s">
        <v>126</v>
      </c>
      <c r="AU179" t="s">
        <v>192</v>
      </c>
      <c r="AV179">
        <v>18773</v>
      </c>
      <c r="AW179">
        <v>18773</v>
      </c>
      <c r="AX179">
        <v>13658</v>
      </c>
      <c r="AY179">
        <v>0</v>
      </c>
      <c r="AZ179" s="1">
        <v>46357</v>
      </c>
      <c r="BB179">
        <v>494265</v>
      </c>
      <c r="BC179" t="s">
        <v>99</v>
      </c>
      <c r="BD179" t="s">
        <v>233</v>
      </c>
      <c r="BE179" t="s">
        <v>160</v>
      </c>
      <c r="BG179" t="s">
        <v>100</v>
      </c>
      <c r="BH179" t="str">
        <f t="shared" si="7"/>
        <v>720803940</v>
      </c>
      <c r="BI179" t="s">
        <v>101</v>
      </c>
      <c r="BJ179" t="s">
        <v>102</v>
      </c>
      <c r="BK179" t="s">
        <v>102</v>
      </c>
      <c r="BL179">
        <v>822986373</v>
      </c>
      <c r="BM179">
        <v>836686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823823059</v>
      </c>
      <c r="BT179">
        <v>99.9</v>
      </c>
      <c r="BU179">
        <v>0.1</v>
      </c>
      <c r="BV179">
        <v>0</v>
      </c>
      <c r="BW179">
        <v>0</v>
      </c>
      <c r="BX179">
        <v>0</v>
      </c>
      <c r="BY179">
        <v>0</v>
      </c>
      <c r="BZ179">
        <v>0</v>
      </c>
    </row>
    <row r="180" spans="1:78">
      <c r="A180" t="s">
        <v>205</v>
      </c>
      <c r="B180" t="s">
        <v>226</v>
      </c>
      <c r="C180" t="s">
        <v>227</v>
      </c>
      <c r="D180" t="s">
        <v>228</v>
      </c>
      <c r="E180">
        <v>6355</v>
      </c>
      <c r="F180" t="s">
        <v>229</v>
      </c>
      <c r="G180">
        <v>1452003</v>
      </c>
      <c r="H180">
        <v>1152090</v>
      </c>
      <c r="I180">
        <v>37100026</v>
      </c>
      <c r="J180">
        <v>426566</v>
      </c>
      <c r="L180" t="s">
        <v>230</v>
      </c>
      <c r="M180" t="s">
        <v>231</v>
      </c>
      <c r="N180" t="s">
        <v>87</v>
      </c>
      <c r="O180" t="s">
        <v>159</v>
      </c>
      <c r="P180" t="s">
        <v>159</v>
      </c>
      <c r="Q180" t="s">
        <v>112</v>
      </c>
      <c r="R180" t="s">
        <v>232</v>
      </c>
      <c r="S180" s="1">
        <v>46358</v>
      </c>
      <c r="T180" s="1">
        <v>46267</v>
      </c>
      <c r="U180">
        <v>32</v>
      </c>
      <c r="V180">
        <v>26</v>
      </c>
      <c r="W180" t="str">
        <f>"7"</f>
        <v>7</v>
      </c>
      <c r="X180" t="s">
        <v>256</v>
      </c>
      <c r="AA180" t="s">
        <v>94</v>
      </c>
      <c r="AB180" t="s">
        <v>95</v>
      </c>
      <c r="AC180" t="s">
        <v>96</v>
      </c>
      <c r="AD180" t="s">
        <v>95</v>
      </c>
      <c r="AE180" t="s">
        <v>95</v>
      </c>
      <c r="AF180" t="s">
        <v>95</v>
      </c>
      <c r="AN180" t="s">
        <v>95</v>
      </c>
      <c r="AQ180" s="1">
        <v>46267</v>
      </c>
      <c r="AS180">
        <v>5505</v>
      </c>
      <c r="AT180" t="s">
        <v>128</v>
      </c>
      <c r="AU180" t="s">
        <v>257</v>
      </c>
      <c r="AV180">
        <v>18773</v>
      </c>
      <c r="AW180">
        <v>18773</v>
      </c>
      <c r="AX180">
        <v>13658</v>
      </c>
      <c r="AY180">
        <v>0</v>
      </c>
      <c r="AZ180" s="1">
        <v>46357</v>
      </c>
      <c r="BB180">
        <v>494265</v>
      </c>
      <c r="BC180" t="s">
        <v>99</v>
      </c>
      <c r="BD180" t="s">
        <v>233</v>
      </c>
      <c r="BE180" t="s">
        <v>160</v>
      </c>
      <c r="BG180" t="s">
        <v>100</v>
      </c>
      <c r="BH180" t="str">
        <f t="shared" si="7"/>
        <v>720803940</v>
      </c>
      <c r="BI180" t="s">
        <v>101</v>
      </c>
      <c r="BJ180" t="s">
        <v>102</v>
      </c>
      <c r="BK180" t="s">
        <v>102</v>
      </c>
      <c r="BL180">
        <v>815582645</v>
      </c>
      <c r="BM180">
        <v>8228486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823811131</v>
      </c>
      <c r="BT180">
        <v>99</v>
      </c>
      <c r="BU180">
        <v>1</v>
      </c>
      <c r="BV180">
        <v>0</v>
      </c>
      <c r="BW180">
        <v>0</v>
      </c>
      <c r="BX180">
        <v>0</v>
      </c>
      <c r="BY180">
        <v>0</v>
      </c>
      <c r="BZ180">
        <v>0</v>
      </c>
    </row>
    <row r="181" spans="1:78">
      <c r="A181" t="s">
        <v>205</v>
      </c>
      <c r="B181" t="s">
        <v>226</v>
      </c>
      <c r="C181" t="s">
        <v>227</v>
      </c>
      <c r="D181" t="s">
        <v>228</v>
      </c>
      <c r="E181">
        <v>6355</v>
      </c>
      <c r="F181" t="s">
        <v>229</v>
      </c>
      <c r="G181">
        <v>1452003</v>
      </c>
      <c r="H181">
        <v>1152090</v>
      </c>
      <c r="I181">
        <v>37100026</v>
      </c>
      <c r="J181">
        <v>426566</v>
      </c>
      <c r="L181" t="s">
        <v>230</v>
      </c>
      <c r="M181" t="s">
        <v>231</v>
      </c>
      <c r="N181" t="s">
        <v>87</v>
      </c>
      <c r="O181" t="s">
        <v>159</v>
      </c>
      <c r="P181" t="s">
        <v>159</v>
      </c>
      <c r="Q181" t="s">
        <v>112</v>
      </c>
      <c r="R181" t="s">
        <v>232</v>
      </c>
      <c r="S181" s="1">
        <v>46358</v>
      </c>
      <c r="T181" s="1">
        <v>46267</v>
      </c>
      <c r="U181">
        <v>33</v>
      </c>
      <c r="V181">
        <v>27</v>
      </c>
      <c r="W181" t="str">
        <f>"8"</f>
        <v>8</v>
      </c>
      <c r="X181" t="s">
        <v>258</v>
      </c>
      <c r="AA181" t="s">
        <v>94</v>
      </c>
      <c r="AB181" t="s">
        <v>95</v>
      </c>
      <c r="AC181" t="s">
        <v>96</v>
      </c>
      <c r="AD181" t="s">
        <v>95</v>
      </c>
      <c r="AE181" t="s">
        <v>95</v>
      </c>
      <c r="AF181" t="s">
        <v>95</v>
      </c>
      <c r="AN181" t="s">
        <v>95</v>
      </c>
      <c r="AQ181" s="1">
        <v>46267</v>
      </c>
      <c r="AS181">
        <v>5605</v>
      </c>
      <c r="AT181" t="s">
        <v>128</v>
      </c>
      <c r="AU181" t="s">
        <v>259</v>
      </c>
      <c r="AV181">
        <v>18773</v>
      </c>
      <c r="AW181">
        <v>18773</v>
      </c>
      <c r="AX181">
        <v>13658</v>
      </c>
      <c r="AY181">
        <v>0</v>
      </c>
      <c r="AZ181" s="1">
        <v>46357</v>
      </c>
      <c r="BB181">
        <v>494265</v>
      </c>
      <c r="BC181" t="s">
        <v>99</v>
      </c>
      <c r="BD181" t="s">
        <v>233</v>
      </c>
      <c r="BE181" t="s">
        <v>160</v>
      </c>
      <c r="BG181" t="s">
        <v>100</v>
      </c>
      <c r="BH181" t="str">
        <f t="shared" si="7"/>
        <v>720803940</v>
      </c>
      <c r="BI181" t="s">
        <v>101</v>
      </c>
      <c r="BJ181" t="s">
        <v>102</v>
      </c>
      <c r="BK181" t="s">
        <v>102</v>
      </c>
      <c r="BL181">
        <v>711736439</v>
      </c>
      <c r="BM181">
        <v>99947559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811683998</v>
      </c>
      <c r="BT181">
        <v>87.69</v>
      </c>
      <c r="BU181">
        <v>12.31</v>
      </c>
      <c r="BV181">
        <v>0</v>
      </c>
      <c r="BW181">
        <v>0</v>
      </c>
      <c r="BX181">
        <v>0</v>
      </c>
      <c r="BY181">
        <v>0</v>
      </c>
      <c r="BZ181">
        <v>0</v>
      </c>
    </row>
    <row r="182" spans="1:78">
      <c r="A182" t="s">
        <v>205</v>
      </c>
      <c r="B182" t="s">
        <v>226</v>
      </c>
      <c r="C182" t="s">
        <v>227</v>
      </c>
      <c r="D182" t="s">
        <v>228</v>
      </c>
      <c r="E182">
        <v>6355</v>
      </c>
      <c r="F182" t="s">
        <v>229</v>
      </c>
      <c r="G182">
        <v>1452003</v>
      </c>
      <c r="H182">
        <v>1152090</v>
      </c>
      <c r="I182">
        <v>37100026</v>
      </c>
      <c r="J182">
        <v>426566</v>
      </c>
      <c r="L182" t="s">
        <v>230</v>
      </c>
      <c r="M182" t="s">
        <v>231</v>
      </c>
      <c r="N182" t="s">
        <v>87</v>
      </c>
      <c r="O182" t="s">
        <v>159</v>
      </c>
      <c r="P182" t="s">
        <v>159</v>
      </c>
      <c r="Q182" t="s">
        <v>112</v>
      </c>
      <c r="R182" t="s">
        <v>232</v>
      </c>
      <c r="S182" s="1">
        <v>46358</v>
      </c>
      <c r="T182" s="1">
        <v>46267</v>
      </c>
      <c r="U182">
        <v>34</v>
      </c>
      <c r="V182">
        <v>28</v>
      </c>
      <c r="W182" t="str">
        <f>"9"</f>
        <v>9</v>
      </c>
      <c r="X182" t="s">
        <v>193</v>
      </c>
      <c r="AA182" t="s">
        <v>94</v>
      </c>
      <c r="AB182" t="s">
        <v>95</v>
      </c>
      <c r="AC182" t="s">
        <v>96</v>
      </c>
      <c r="AD182" t="s">
        <v>95</v>
      </c>
      <c r="AE182" t="s">
        <v>95</v>
      </c>
      <c r="AF182" t="s">
        <v>95</v>
      </c>
      <c r="AN182" t="s">
        <v>95</v>
      </c>
      <c r="AQ182" s="1">
        <v>46267</v>
      </c>
      <c r="AS182">
        <v>5600</v>
      </c>
      <c r="AT182" t="s">
        <v>128</v>
      </c>
      <c r="AU182" t="s">
        <v>194</v>
      </c>
      <c r="AV182">
        <v>18773</v>
      </c>
      <c r="AW182">
        <v>18773</v>
      </c>
      <c r="AX182">
        <v>13658</v>
      </c>
      <c r="AY182">
        <v>0</v>
      </c>
      <c r="AZ182" s="1">
        <v>46357</v>
      </c>
      <c r="BB182">
        <v>494265</v>
      </c>
      <c r="BC182" t="s">
        <v>99</v>
      </c>
      <c r="BD182" t="s">
        <v>233</v>
      </c>
      <c r="BE182" t="s">
        <v>160</v>
      </c>
      <c r="BG182" t="s">
        <v>100</v>
      </c>
      <c r="BH182" t="str">
        <f t="shared" si="7"/>
        <v>720803940</v>
      </c>
      <c r="BI182" t="s">
        <v>101</v>
      </c>
      <c r="BJ182" t="s">
        <v>102</v>
      </c>
      <c r="BK182" t="s">
        <v>102</v>
      </c>
      <c r="BL182">
        <v>695401968</v>
      </c>
      <c r="BM182">
        <v>92100122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787502090</v>
      </c>
      <c r="BT182">
        <v>88.3</v>
      </c>
      <c r="BU182">
        <v>11.7</v>
      </c>
      <c r="BV182">
        <v>0</v>
      </c>
      <c r="BW182">
        <v>0</v>
      </c>
      <c r="BX182">
        <v>0</v>
      </c>
      <c r="BY182">
        <v>0</v>
      </c>
      <c r="BZ182">
        <v>0</v>
      </c>
    </row>
    <row r="183" spans="1:78">
      <c r="A183" t="s">
        <v>103</v>
      </c>
      <c r="B183" t="s">
        <v>261</v>
      </c>
      <c r="C183" t="s">
        <v>262</v>
      </c>
      <c r="D183" t="s">
        <v>263</v>
      </c>
      <c r="E183">
        <v>149</v>
      </c>
      <c r="F183" t="s">
        <v>159</v>
      </c>
      <c r="G183">
        <v>1442208</v>
      </c>
      <c r="H183">
        <v>1151766</v>
      </c>
      <c r="I183">
        <v>37048397</v>
      </c>
      <c r="J183" t="s">
        <v>264</v>
      </c>
      <c r="K183" t="str">
        <f t="shared" ref="K183:K197" si="8">"244199105"</f>
        <v>244199105</v>
      </c>
      <c r="L183">
        <v>244199105</v>
      </c>
      <c r="M183" t="s">
        <v>265</v>
      </c>
      <c r="N183" t="s">
        <v>110</v>
      </c>
      <c r="O183" t="s">
        <v>111</v>
      </c>
      <c r="P183" t="s">
        <v>111</v>
      </c>
      <c r="Q183" t="s">
        <v>112</v>
      </c>
      <c r="R183" t="s">
        <v>266</v>
      </c>
      <c r="S183" t="s">
        <v>267</v>
      </c>
      <c r="T183" t="s">
        <v>268</v>
      </c>
      <c r="U183">
        <v>1</v>
      </c>
      <c r="V183">
        <v>1</v>
      </c>
      <c r="W183" t="str">
        <f>"1a."</f>
        <v>1a.</v>
      </c>
      <c r="X183" t="s">
        <v>269</v>
      </c>
      <c r="Y183">
        <v>3527308</v>
      </c>
      <c r="Z183">
        <v>557510</v>
      </c>
      <c r="AA183" t="s">
        <v>94</v>
      </c>
      <c r="AB183" t="s">
        <v>95</v>
      </c>
      <c r="AC183" t="s">
        <v>96</v>
      </c>
      <c r="AD183" t="s">
        <v>95</v>
      </c>
      <c r="AE183" t="s">
        <v>95</v>
      </c>
      <c r="AF183" t="s">
        <v>95</v>
      </c>
      <c r="AN183" t="s">
        <v>95</v>
      </c>
      <c r="AQ183" t="s">
        <v>232</v>
      </c>
      <c r="AS183">
        <v>100</v>
      </c>
      <c r="AT183" t="s">
        <v>117</v>
      </c>
      <c r="AU183" t="s">
        <v>118</v>
      </c>
      <c r="AV183">
        <v>1981</v>
      </c>
      <c r="AW183">
        <v>1981</v>
      </c>
      <c r="AX183">
        <v>1981</v>
      </c>
      <c r="AY183">
        <v>0</v>
      </c>
      <c r="AZ183" s="1">
        <v>46055</v>
      </c>
      <c r="BB183">
        <v>499065</v>
      </c>
      <c r="BC183" t="s">
        <v>99</v>
      </c>
      <c r="BD183" t="s">
        <v>137</v>
      </c>
      <c r="BE183" s="1">
        <v>46083</v>
      </c>
      <c r="BG183" t="s">
        <v>100</v>
      </c>
      <c r="BH183" t="str">
        <f t="shared" ref="BH183:BH197" si="9">"936382085"</f>
        <v>936382085</v>
      </c>
      <c r="BI183" t="s">
        <v>101</v>
      </c>
      <c r="BJ183" t="s">
        <v>102</v>
      </c>
      <c r="BK183" t="s">
        <v>102</v>
      </c>
      <c r="BL183">
        <v>204025619</v>
      </c>
      <c r="BM183">
        <v>2660637</v>
      </c>
      <c r="BN183">
        <v>494309</v>
      </c>
      <c r="BO183">
        <v>0</v>
      </c>
      <c r="BP183">
        <v>0</v>
      </c>
      <c r="BQ183">
        <v>0</v>
      </c>
      <c r="BR183">
        <v>0</v>
      </c>
      <c r="BS183">
        <v>207180565</v>
      </c>
      <c r="BT183">
        <v>98.48</v>
      </c>
      <c r="BU183">
        <v>1.28</v>
      </c>
      <c r="BV183">
        <v>0.24</v>
      </c>
      <c r="BW183">
        <v>0</v>
      </c>
      <c r="BX183">
        <v>0</v>
      </c>
      <c r="BY183">
        <v>0</v>
      </c>
      <c r="BZ183">
        <v>0</v>
      </c>
    </row>
    <row r="184" spans="1:78">
      <c r="A184" t="s">
        <v>103</v>
      </c>
      <c r="B184" t="s">
        <v>261</v>
      </c>
      <c r="C184" t="s">
        <v>262</v>
      </c>
      <c r="D184" t="s">
        <v>263</v>
      </c>
      <c r="E184">
        <v>149</v>
      </c>
      <c r="F184" t="s">
        <v>159</v>
      </c>
      <c r="G184">
        <v>1442208</v>
      </c>
      <c r="H184">
        <v>1151766</v>
      </c>
      <c r="I184">
        <v>37048397</v>
      </c>
      <c r="J184" t="s">
        <v>264</v>
      </c>
      <c r="K184" t="str">
        <f t="shared" si="8"/>
        <v>244199105</v>
      </c>
      <c r="L184">
        <v>244199105</v>
      </c>
      <c r="M184" t="s">
        <v>265</v>
      </c>
      <c r="N184" t="s">
        <v>110</v>
      </c>
      <c r="O184" t="s">
        <v>111</v>
      </c>
      <c r="P184" t="s">
        <v>111</v>
      </c>
      <c r="Q184" t="s">
        <v>112</v>
      </c>
      <c r="R184" t="s">
        <v>266</v>
      </c>
      <c r="S184" t="s">
        <v>267</v>
      </c>
      <c r="T184" t="s">
        <v>268</v>
      </c>
      <c r="U184">
        <v>2</v>
      </c>
      <c r="V184">
        <v>2</v>
      </c>
      <c r="W184" t="str">
        <f>"1b."</f>
        <v>1b.</v>
      </c>
      <c r="X184" t="s">
        <v>270</v>
      </c>
      <c r="Y184">
        <v>3527307</v>
      </c>
      <c r="Z184">
        <v>530463</v>
      </c>
      <c r="AA184" t="s">
        <v>94</v>
      </c>
      <c r="AB184" t="s">
        <v>95</v>
      </c>
      <c r="AC184" t="s">
        <v>96</v>
      </c>
      <c r="AD184" t="s">
        <v>123</v>
      </c>
      <c r="AE184" t="s">
        <v>123</v>
      </c>
      <c r="AF184" t="s">
        <v>123</v>
      </c>
      <c r="AN184" t="s">
        <v>123</v>
      </c>
      <c r="AO184" t="s">
        <v>271</v>
      </c>
      <c r="AP184" t="str">
        <f>"Board level diversity demographic information not fully disclosed"</f>
        <v>Board level diversity demographic information not fully disclosed</v>
      </c>
      <c r="AQ184" t="s">
        <v>232</v>
      </c>
      <c r="AS184">
        <v>100</v>
      </c>
      <c r="AT184" t="s">
        <v>117</v>
      </c>
      <c r="AU184" t="s">
        <v>118</v>
      </c>
      <c r="AV184">
        <v>1981</v>
      </c>
      <c r="AW184">
        <v>1981</v>
      </c>
      <c r="AX184">
        <v>1981</v>
      </c>
      <c r="AY184">
        <v>0</v>
      </c>
      <c r="AZ184" s="1">
        <v>46055</v>
      </c>
      <c r="BB184">
        <v>499065</v>
      </c>
      <c r="BC184" t="s">
        <v>99</v>
      </c>
      <c r="BD184" t="s">
        <v>137</v>
      </c>
      <c r="BE184" s="1">
        <v>46083</v>
      </c>
      <c r="BG184" t="s">
        <v>100</v>
      </c>
      <c r="BH184" t="str">
        <f t="shared" si="9"/>
        <v>936382085</v>
      </c>
      <c r="BI184" t="s">
        <v>101</v>
      </c>
      <c r="BJ184" t="s">
        <v>102</v>
      </c>
      <c r="BK184" t="s">
        <v>102</v>
      </c>
      <c r="BL184">
        <v>190502787</v>
      </c>
      <c r="BM184">
        <v>16285429</v>
      </c>
      <c r="BN184">
        <v>392349</v>
      </c>
      <c r="BO184">
        <v>0</v>
      </c>
      <c r="BP184">
        <v>0</v>
      </c>
      <c r="BQ184">
        <v>0</v>
      </c>
      <c r="BR184">
        <v>0</v>
      </c>
      <c r="BS184">
        <v>207180565</v>
      </c>
      <c r="BT184">
        <v>91.95</v>
      </c>
      <c r="BU184">
        <v>7.86</v>
      </c>
      <c r="BV184">
        <v>0.19</v>
      </c>
      <c r="BW184">
        <v>0</v>
      </c>
      <c r="BX184">
        <v>0</v>
      </c>
      <c r="BY184">
        <v>0</v>
      </c>
      <c r="BZ184">
        <v>0</v>
      </c>
    </row>
    <row r="185" spans="1:78">
      <c r="A185" t="s">
        <v>103</v>
      </c>
      <c r="B185" t="s">
        <v>261</v>
      </c>
      <c r="C185" t="s">
        <v>262</v>
      </c>
      <c r="D185" t="s">
        <v>263</v>
      </c>
      <c r="E185">
        <v>149</v>
      </c>
      <c r="F185" t="s">
        <v>159</v>
      </c>
      <c r="G185">
        <v>1442208</v>
      </c>
      <c r="H185">
        <v>1151766</v>
      </c>
      <c r="I185">
        <v>37048397</v>
      </c>
      <c r="J185" t="s">
        <v>264</v>
      </c>
      <c r="K185" t="str">
        <f t="shared" si="8"/>
        <v>244199105</v>
      </c>
      <c r="L185">
        <v>244199105</v>
      </c>
      <c r="M185" t="s">
        <v>265</v>
      </c>
      <c r="N185" t="s">
        <v>110</v>
      </c>
      <c r="O185" t="s">
        <v>111</v>
      </c>
      <c r="P185" t="s">
        <v>111</v>
      </c>
      <c r="Q185" t="s">
        <v>112</v>
      </c>
      <c r="R185" t="s">
        <v>266</v>
      </c>
      <c r="S185" t="s">
        <v>267</v>
      </c>
      <c r="T185" t="s">
        <v>268</v>
      </c>
      <c r="U185">
        <v>3</v>
      </c>
      <c r="V185">
        <v>3</v>
      </c>
      <c r="W185" t="str">
        <f>"1c."</f>
        <v>1c.</v>
      </c>
      <c r="X185" t="s">
        <v>272</v>
      </c>
      <c r="Y185">
        <v>3527306</v>
      </c>
      <c r="Z185">
        <v>506075</v>
      </c>
      <c r="AA185" t="s">
        <v>94</v>
      </c>
      <c r="AB185" t="s">
        <v>95</v>
      </c>
      <c r="AC185" t="s">
        <v>96</v>
      </c>
      <c r="AD185" t="s">
        <v>95</v>
      </c>
      <c r="AE185" t="s">
        <v>95</v>
      </c>
      <c r="AF185" t="s">
        <v>95</v>
      </c>
      <c r="AN185" t="s">
        <v>95</v>
      </c>
      <c r="AQ185" t="s">
        <v>232</v>
      </c>
      <c r="AS185">
        <v>100</v>
      </c>
      <c r="AT185" t="s">
        <v>117</v>
      </c>
      <c r="AU185" t="s">
        <v>118</v>
      </c>
      <c r="AV185">
        <v>1981</v>
      </c>
      <c r="AW185">
        <v>1981</v>
      </c>
      <c r="AX185">
        <v>1981</v>
      </c>
      <c r="AY185">
        <v>0</v>
      </c>
      <c r="AZ185" s="1">
        <v>46055</v>
      </c>
      <c r="BB185">
        <v>499065</v>
      </c>
      <c r="BC185" t="s">
        <v>99</v>
      </c>
      <c r="BD185" t="s">
        <v>137</v>
      </c>
      <c r="BE185" s="1">
        <v>46083</v>
      </c>
      <c r="BG185" t="s">
        <v>100</v>
      </c>
      <c r="BH185" t="str">
        <f t="shared" si="9"/>
        <v>936382085</v>
      </c>
      <c r="BI185" t="s">
        <v>101</v>
      </c>
      <c r="BJ185" t="s">
        <v>102</v>
      </c>
      <c r="BK185" t="s">
        <v>102</v>
      </c>
      <c r="BL185">
        <v>202870437</v>
      </c>
      <c r="BM185">
        <v>3916100</v>
      </c>
      <c r="BN185">
        <v>394028</v>
      </c>
      <c r="BO185">
        <v>0</v>
      </c>
      <c r="BP185">
        <v>0</v>
      </c>
      <c r="BQ185">
        <v>0</v>
      </c>
      <c r="BR185">
        <v>0</v>
      </c>
      <c r="BS185">
        <v>207180565</v>
      </c>
      <c r="BT185">
        <v>97.92</v>
      </c>
      <c r="BU185">
        <v>1.89</v>
      </c>
      <c r="BV185">
        <v>0.19</v>
      </c>
      <c r="BW185">
        <v>0</v>
      </c>
      <c r="BX185">
        <v>0</v>
      </c>
      <c r="BY185">
        <v>0</v>
      </c>
      <c r="BZ185">
        <v>0</v>
      </c>
    </row>
    <row r="186" spans="1:78">
      <c r="A186" t="s">
        <v>103</v>
      </c>
      <c r="B186" t="s">
        <v>261</v>
      </c>
      <c r="C186" t="s">
        <v>262</v>
      </c>
      <c r="D186" t="s">
        <v>263</v>
      </c>
      <c r="E186">
        <v>149</v>
      </c>
      <c r="F186" t="s">
        <v>159</v>
      </c>
      <c r="G186">
        <v>1442208</v>
      </c>
      <c r="H186">
        <v>1151766</v>
      </c>
      <c r="I186">
        <v>37048397</v>
      </c>
      <c r="J186" t="s">
        <v>264</v>
      </c>
      <c r="K186" t="str">
        <f t="shared" si="8"/>
        <v>244199105</v>
      </c>
      <c r="L186">
        <v>244199105</v>
      </c>
      <c r="M186" t="s">
        <v>265</v>
      </c>
      <c r="N186" t="s">
        <v>110</v>
      </c>
      <c r="O186" t="s">
        <v>111</v>
      </c>
      <c r="P186" t="s">
        <v>111</v>
      </c>
      <c r="Q186" t="s">
        <v>112</v>
      </c>
      <c r="R186" t="s">
        <v>266</v>
      </c>
      <c r="S186" t="s">
        <v>267</v>
      </c>
      <c r="T186" t="s">
        <v>268</v>
      </c>
      <c r="U186">
        <v>4</v>
      </c>
      <c r="V186">
        <v>4</v>
      </c>
      <c r="W186" t="str">
        <f>"1d."</f>
        <v>1d.</v>
      </c>
      <c r="X186" t="s">
        <v>273</v>
      </c>
      <c r="Y186">
        <v>3527303</v>
      </c>
      <c r="Z186">
        <v>429171</v>
      </c>
      <c r="AA186" t="s">
        <v>94</v>
      </c>
      <c r="AB186" t="s">
        <v>95</v>
      </c>
      <c r="AC186" t="s">
        <v>96</v>
      </c>
      <c r="AD186" t="s">
        <v>95</v>
      </c>
      <c r="AE186" t="s">
        <v>95</v>
      </c>
      <c r="AF186" t="s">
        <v>95</v>
      </c>
      <c r="AN186" t="s">
        <v>95</v>
      </c>
      <c r="AQ186" t="s">
        <v>232</v>
      </c>
      <c r="AS186">
        <v>100</v>
      </c>
      <c r="AT186" t="s">
        <v>117</v>
      </c>
      <c r="AU186" t="s">
        <v>118</v>
      </c>
      <c r="AV186">
        <v>1981</v>
      </c>
      <c r="AW186">
        <v>1981</v>
      </c>
      <c r="AX186">
        <v>1981</v>
      </c>
      <c r="AY186">
        <v>0</v>
      </c>
      <c r="AZ186" s="1">
        <v>46055</v>
      </c>
      <c r="BB186">
        <v>499065</v>
      </c>
      <c r="BC186" t="s">
        <v>99</v>
      </c>
      <c r="BD186" t="s">
        <v>137</v>
      </c>
      <c r="BE186" s="1">
        <v>46083</v>
      </c>
      <c r="BG186" t="s">
        <v>100</v>
      </c>
      <c r="BH186" t="str">
        <f t="shared" si="9"/>
        <v>936382085</v>
      </c>
      <c r="BI186" t="s">
        <v>101</v>
      </c>
      <c r="BJ186" t="s">
        <v>102</v>
      </c>
      <c r="BK186" t="s">
        <v>102</v>
      </c>
      <c r="BL186">
        <v>205689006</v>
      </c>
      <c r="BM186">
        <v>979681</v>
      </c>
      <c r="BN186">
        <v>511878</v>
      </c>
      <c r="BO186">
        <v>0</v>
      </c>
      <c r="BP186">
        <v>0</v>
      </c>
      <c r="BQ186">
        <v>0</v>
      </c>
      <c r="BR186">
        <v>0</v>
      </c>
      <c r="BS186">
        <v>207180565</v>
      </c>
      <c r="BT186">
        <v>99.28</v>
      </c>
      <c r="BU186">
        <v>0.47</v>
      </c>
      <c r="BV186">
        <v>0.25</v>
      </c>
      <c r="BW186">
        <v>0</v>
      </c>
      <c r="BX186">
        <v>0</v>
      </c>
      <c r="BY186">
        <v>0</v>
      </c>
      <c r="BZ186">
        <v>0</v>
      </c>
    </row>
    <row r="187" spans="1:78">
      <c r="A187" t="s">
        <v>103</v>
      </c>
      <c r="B187" t="s">
        <v>261</v>
      </c>
      <c r="C187" t="s">
        <v>262</v>
      </c>
      <c r="D187" t="s">
        <v>263</v>
      </c>
      <c r="E187">
        <v>149</v>
      </c>
      <c r="F187" t="s">
        <v>159</v>
      </c>
      <c r="G187">
        <v>1442208</v>
      </c>
      <c r="H187">
        <v>1151766</v>
      </c>
      <c r="I187">
        <v>37048397</v>
      </c>
      <c r="J187" t="s">
        <v>264</v>
      </c>
      <c r="K187" t="str">
        <f t="shared" si="8"/>
        <v>244199105</v>
      </c>
      <c r="L187">
        <v>244199105</v>
      </c>
      <c r="M187" t="s">
        <v>265</v>
      </c>
      <c r="N187" t="s">
        <v>110</v>
      </c>
      <c r="O187" t="s">
        <v>111</v>
      </c>
      <c r="P187" t="s">
        <v>111</v>
      </c>
      <c r="Q187" t="s">
        <v>112</v>
      </c>
      <c r="R187" t="s">
        <v>266</v>
      </c>
      <c r="S187" t="s">
        <v>267</v>
      </c>
      <c r="T187" t="s">
        <v>268</v>
      </c>
      <c r="U187">
        <v>5</v>
      </c>
      <c r="V187">
        <v>5</v>
      </c>
      <c r="W187" t="str">
        <f>"1e."</f>
        <v>1e.</v>
      </c>
      <c r="X187" t="s">
        <v>274</v>
      </c>
      <c r="Y187">
        <v>3527304</v>
      </c>
      <c r="Z187">
        <v>487516</v>
      </c>
      <c r="AA187" t="s">
        <v>94</v>
      </c>
      <c r="AB187" t="s">
        <v>95</v>
      </c>
      <c r="AC187" t="s">
        <v>96</v>
      </c>
      <c r="AD187" t="s">
        <v>95</v>
      </c>
      <c r="AE187" t="s">
        <v>95</v>
      </c>
      <c r="AF187" t="s">
        <v>123</v>
      </c>
      <c r="AN187" t="s">
        <v>123</v>
      </c>
      <c r="AO187" t="str">
        <f>"CEO to median employee pay ratio is excessive. "</f>
        <v xml:space="preserve">CEO to median employee pay ratio is excessive. </v>
      </c>
      <c r="AQ187" t="s">
        <v>232</v>
      </c>
      <c r="AS187">
        <v>100</v>
      </c>
      <c r="AT187" t="s">
        <v>117</v>
      </c>
      <c r="AU187" t="s">
        <v>118</v>
      </c>
      <c r="AV187">
        <v>1981</v>
      </c>
      <c r="AW187">
        <v>1981</v>
      </c>
      <c r="AX187">
        <v>1981</v>
      </c>
      <c r="AY187">
        <v>0</v>
      </c>
      <c r="AZ187" s="1">
        <v>46055</v>
      </c>
      <c r="BB187">
        <v>499065</v>
      </c>
      <c r="BC187" t="s">
        <v>99</v>
      </c>
      <c r="BD187" t="s">
        <v>137</v>
      </c>
      <c r="BE187" s="1">
        <v>46083</v>
      </c>
      <c r="BG187" t="s">
        <v>100</v>
      </c>
      <c r="BH187" t="str">
        <f t="shared" si="9"/>
        <v>936382085</v>
      </c>
      <c r="BI187" t="s">
        <v>101</v>
      </c>
      <c r="BJ187" t="s">
        <v>123</v>
      </c>
      <c r="BK187" t="s">
        <v>123</v>
      </c>
      <c r="BL187">
        <v>201240226</v>
      </c>
      <c r="BM187">
        <v>5137013</v>
      </c>
      <c r="BN187">
        <v>803326</v>
      </c>
      <c r="BO187">
        <v>0</v>
      </c>
      <c r="BP187">
        <v>0</v>
      </c>
      <c r="BQ187">
        <v>0</v>
      </c>
      <c r="BR187">
        <v>0</v>
      </c>
      <c r="BS187">
        <v>207180565</v>
      </c>
      <c r="BT187">
        <v>97.13</v>
      </c>
      <c r="BU187">
        <v>2.48</v>
      </c>
      <c r="BV187">
        <v>0.39</v>
      </c>
      <c r="BW187">
        <v>0</v>
      </c>
      <c r="BX187">
        <v>0</v>
      </c>
      <c r="BY187">
        <v>0</v>
      </c>
      <c r="BZ187">
        <v>0</v>
      </c>
    </row>
    <row r="188" spans="1:78">
      <c r="A188" t="s">
        <v>103</v>
      </c>
      <c r="B188" t="s">
        <v>261</v>
      </c>
      <c r="C188" t="s">
        <v>262</v>
      </c>
      <c r="D188" t="s">
        <v>263</v>
      </c>
      <c r="E188">
        <v>149</v>
      </c>
      <c r="F188" t="s">
        <v>159</v>
      </c>
      <c r="G188">
        <v>1442208</v>
      </c>
      <c r="H188">
        <v>1151766</v>
      </c>
      <c r="I188">
        <v>37048397</v>
      </c>
      <c r="J188" t="s">
        <v>264</v>
      </c>
      <c r="K188" t="str">
        <f t="shared" si="8"/>
        <v>244199105</v>
      </c>
      <c r="L188">
        <v>244199105</v>
      </c>
      <c r="M188" t="s">
        <v>265</v>
      </c>
      <c r="N188" t="s">
        <v>110</v>
      </c>
      <c r="O188" t="s">
        <v>111</v>
      </c>
      <c r="P188" t="s">
        <v>111</v>
      </c>
      <c r="Q188" t="s">
        <v>112</v>
      </c>
      <c r="R188" t="s">
        <v>266</v>
      </c>
      <c r="S188" t="s">
        <v>267</v>
      </c>
      <c r="T188" t="s">
        <v>268</v>
      </c>
      <c r="U188">
        <v>6</v>
      </c>
      <c r="V188">
        <v>6</v>
      </c>
      <c r="W188" t="str">
        <f>"1f."</f>
        <v>1f.</v>
      </c>
      <c r="X188" t="s">
        <v>275</v>
      </c>
      <c r="Y188">
        <v>3527305</v>
      </c>
      <c r="Z188">
        <v>504107</v>
      </c>
      <c r="AA188" t="s">
        <v>94</v>
      </c>
      <c r="AB188" t="s">
        <v>95</v>
      </c>
      <c r="AC188" t="s">
        <v>96</v>
      </c>
      <c r="AD188" t="s">
        <v>95</v>
      </c>
      <c r="AE188" t="s">
        <v>95</v>
      </c>
      <c r="AF188" t="s">
        <v>95</v>
      </c>
      <c r="AN188" t="s">
        <v>95</v>
      </c>
      <c r="AQ188" t="s">
        <v>232</v>
      </c>
      <c r="AS188">
        <v>100</v>
      </c>
      <c r="AT188" t="s">
        <v>117</v>
      </c>
      <c r="AU188" t="s">
        <v>118</v>
      </c>
      <c r="AV188">
        <v>1981</v>
      </c>
      <c r="AW188">
        <v>1981</v>
      </c>
      <c r="AX188">
        <v>1981</v>
      </c>
      <c r="AY188">
        <v>0</v>
      </c>
      <c r="AZ188" s="1">
        <v>46055</v>
      </c>
      <c r="BB188">
        <v>499065</v>
      </c>
      <c r="BC188" t="s">
        <v>99</v>
      </c>
      <c r="BD188" t="s">
        <v>137</v>
      </c>
      <c r="BE188" s="1">
        <v>46083</v>
      </c>
      <c r="BG188" t="s">
        <v>100</v>
      </c>
      <c r="BH188" t="str">
        <f t="shared" si="9"/>
        <v>936382085</v>
      </c>
      <c r="BI188" t="s">
        <v>101</v>
      </c>
      <c r="BJ188" t="s">
        <v>102</v>
      </c>
      <c r="BK188" t="s">
        <v>102</v>
      </c>
      <c r="BL188">
        <v>199327228</v>
      </c>
      <c r="BM188">
        <v>6534554</v>
      </c>
      <c r="BN188">
        <v>1318783</v>
      </c>
      <c r="BO188">
        <v>0</v>
      </c>
      <c r="BP188">
        <v>0</v>
      </c>
      <c r="BQ188">
        <v>0</v>
      </c>
      <c r="BR188">
        <v>0</v>
      </c>
      <c r="BS188">
        <v>207180565</v>
      </c>
      <c r="BT188">
        <v>96.21</v>
      </c>
      <c r="BU188">
        <v>3.15</v>
      </c>
      <c r="BV188">
        <v>0.64</v>
      </c>
      <c r="BW188">
        <v>0</v>
      </c>
      <c r="BX188">
        <v>0</v>
      </c>
      <c r="BY188">
        <v>0</v>
      </c>
      <c r="BZ188">
        <v>0</v>
      </c>
    </row>
    <row r="189" spans="1:78">
      <c r="A189" t="s">
        <v>103</v>
      </c>
      <c r="B189" t="s">
        <v>261</v>
      </c>
      <c r="C189" t="s">
        <v>262</v>
      </c>
      <c r="D189" t="s">
        <v>263</v>
      </c>
      <c r="E189">
        <v>149</v>
      </c>
      <c r="F189" t="s">
        <v>159</v>
      </c>
      <c r="G189">
        <v>1442208</v>
      </c>
      <c r="H189">
        <v>1151766</v>
      </c>
      <c r="I189">
        <v>37048397</v>
      </c>
      <c r="J189" t="s">
        <v>264</v>
      </c>
      <c r="K189" t="str">
        <f t="shared" si="8"/>
        <v>244199105</v>
      </c>
      <c r="L189">
        <v>244199105</v>
      </c>
      <c r="M189" t="s">
        <v>265</v>
      </c>
      <c r="N189" t="s">
        <v>110</v>
      </c>
      <c r="O189" t="s">
        <v>111</v>
      </c>
      <c r="P189" t="s">
        <v>111</v>
      </c>
      <c r="Q189" t="s">
        <v>112</v>
      </c>
      <c r="R189" t="s">
        <v>266</v>
      </c>
      <c r="S189" t="s">
        <v>267</v>
      </c>
      <c r="T189" t="s">
        <v>268</v>
      </c>
      <c r="U189">
        <v>7</v>
      </c>
      <c r="V189">
        <v>7</v>
      </c>
      <c r="W189" t="str">
        <f>"1g."</f>
        <v>1g.</v>
      </c>
      <c r="X189" t="s">
        <v>276</v>
      </c>
      <c r="Y189">
        <v>3527298</v>
      </c>
      <c r="Z189">
        <v>80580</v>
      </c>
      <c r="AA189" t="s">
        <v>94</v>
      </c>
      <c r="AB189" t="s">
        <v>95</v>
      </c>
      <c r="AC189" t="s">
        <v>96</v>
      </c>
      <c r="AD189" t="s">
        <v>95</v>
      </c>
      <c r="AE189" t="s">
        <v>95</v>
      </c>
      <c r="AF189" t="s">
        <v>123</v>
      </c>
      <c r="AN189" t="s">
        <v>123</v>
      </c>
      <c r="AO189" t="str">
        <f>"PAGE is the chair of 2 public companies, raising concerns of overcommitment. "</f>
        <v xml:space="preserve">PAGE is the chair of 2 public companies, raising concerns of overcommitment. </v>
      </c>
      <c r="AQ189" t="s">
        <v>232</v>
      </c>
      <c r="AS189">
        <v>100</v>
      </c>
      <c r="AT189" t="s">
        <v>117</v>
      </c>
      <c r="AU189" t="s">
        <v>118</v>
      </c>
      <c r="AV189">
        <v>1981</v>
      </c>
      <c r="AW189">
        <v>1981</v>
      </c>
      <c r="AX189">
        <v>1981</v>
      </c>
      <c r="AY189">
        <v>0</v>
      </c>
      <c r="AZ189" s="1">
        <v>46055</v>
      </c>
      <c r="BB189">
        <v>499065</v>
      </c>
      <c r="BC189" t="s">
        <v>99</v>
      </c>
      <c r="BD189" t="s">
        <v>137</v>
      </c>
      <c r="BE189" s="1">
        <v>46083</v>
      </c>
      <c r="BG189" t="s">
        <v>100</v>
      </c>
      <c r="BH189" t="str">
        <f t="shared" si="9"/>
        <v>936382085</v>
      </c>
      <c r="BI189" t="s">
        <v>101</v>
      </c>
      <c r="BJ189" t="s">
        <v>123</v>
      </c>
      <c r="BK189" t="s">
        <v>123</v>
      </c>
      <c r="BL189">
        <v>200568626</v>
      </c>
      <c r="BM189">
        <v>6080027</v>
      </c>
      <c r="BN189">
        <v>531912</v>
      </c>
      <c r="BO189">
        <v>0</v>
      </c>
      <c r="BP189">
        <v>0</v>
      </c>
      <c r="BQ189">
        <v>0</v>
      </c>
      <c r="BR189">
        <v>0</v>
      </c>
      <c r="BS189">
        <v>207180565</v>
      </c>
      <c r="BT189">
        <v>96.81</v>
      </c>
      <c r="BU189">
        <v>2.93</v>
      </c>
      <c r="BV189">
        <v>0.26</v>
      </c>
      <c r="BW189">
        <v>0</v>
      </c>
      <c r="BX189">
        <v>0</v>
      </c>
      <c r="BY189">
        <v>0</v>
      </c>
      <c r="BZ189">
        <v>0</v>
      </c>
    </row>
    <row r="190" spans="1:78">
      <c r="A190" t="s">
        <v>103</v>
      </c>
      <c r="B190" t="s">
        <v>261</v>
      </c>
      <c r="C190" t="s">
        <v>262</v>
      </c>
      <c r="D190" t="s">
        <v>263</v>
      </c>
      <c r="E190">
        <v>149</v>
      </c>
      <c r="F190" t="s">
        <v>159</v>
      </c>
      <c r="G190">
        <v>1442208</v>
      </c>
      <c r="H190">
        <v>1151766</v>
      </c>
      <c r="I190">
        <v>37048397</v>
      </c>
      <c r="J190" t="s">
        <v>264</v>
      </c>
      <c r="K190" t="str">
        <f t="shared" si="8"/>
        <v>244199105</v>
      </c>
      <c r="L190">
        <v>244199105</v>
      </c>
      <c r="M190" t="s">
        <v>265</v>
      </c>
      <c r="N190" t="s">
        <v>110</v>
      </c>
      <c r="O190" t="s">
        <v>111</v>
      </c>
      <c r="P190" t="s">
        <v>111</v>
      </c>
      <c r="Q190" t="s">
        <v>112</v>
      </c>
      <c r="R190" t="s">
        <v>266</v>
      </c>
      <c r="S190" t="s">
        <v>267</v>
      </c>
      <c r="T190" t="s">
        <v>268</v>
      </c>
      <c r="U190">
        <v>8</v>
      </c>
      <c r="V190">
        <v>8</v>
      </c>
      <c r="W190" t="str">
        <f>"1h."</f>
        <v>1h.</v>
      </c>
      <c r="X190" t="s">
        <v>277</v>
      </c>
      <c r="Y190">
        <v>3527310</v>
      </c>
      <c r="Z190">
        <v>656073</v>
      </c>
      <c r="AA190" t="s">
        <v>94</v>
      </c>
      <c r="AB190" t="s">
        <v>95</v>
      </c>
      <c r="AC190" t="s">
        <v>96</v>
      </c>
      <c r="AD190" t="s">
        <v>95</v>
      </c>
      <c r="AE190" t="s">
        <v>95</v>
      </c>
      <c r="AF190" t="s">
        <v>95</v>
      </c>
      <c r="AN190" t="s">
        <v>95</v>
      </c>
      <c r="AQ190" t="s">
        <v>232</v>
      </c>
      <c r="AS190">
        <v>100</v>
      </c>
      <c r="AT190" t="s">
        <v>117</v>
      </c>
      <c r="AU190" t="s">
        <v>118</v>
      </c>
      <c r="AV190">
        <v>1981</v>
      </c>
      <c r="AW190">
        <v>1981</v>
      </c>
      <c r="AX190">
        <v>1981</v>
      </c>
      <c r="AY190">
        <v>0</v>
      </c>
      <c r="AZ190" s="1">
        <v>46055</v>
      </c>
      <c r="BB190">
        <v>499065</v>
      </c>
      <c r="BC190" t="s">
        <v>99</v>
      </c>
      <c r="BD190" t="s">
        <v>137</v>
      </c>
      <c r="BE190" s="1">
        <v>46083</v>
      </c>
      <c r="BG190" t="s">
        <v>100</v>
      </c>
      <c r="BH190" t="str">
        <f t="shared" si="9"/>
        <v>936382085</v>
      </c>
      <c r="BI190" t="s">
        <v>101</v>
      </c>
      <c r="BJ190" t="s">
        <v>102</v>
      </c>
      <c r="BK190" t="s">
        <v>102</v>
      </c>
      <c r="BL190">
        <v>204284450</v>
      </c>
      <c r="BM190">
        <v>2505977</v>
      </c>
      <c r="BN190">
        <v>390138</v>
      </c>
      <c r="BO190">
        <v>0</v>
      </c>
      <c r="BP190">
        <v>0</v>
      </c>
      <c r="BQ190">
        <v>0</v>
      </c>
      <c r="BR190">
        <v>0</v>
      </c>
      <c r="BS190">
        <v>207180565</v>
      </c>
      <c r="BT190">
        <v>98.6</v>
      </c>
      <c r="BU190">
        <v>1.21</v>
      </c>
      <c r="BV190">
        <v>0.19</v>
      </c>
      <c r="BW190">
        <v>0</v>
      </c>
      <c r="BX190">
        <v>0</v>
      </c>
      <c r="BY190">
        <v>0</v>
      </c>
      <c r="BZ190">
        <v>0</v>
      </c>
    </row>
    <row r="191" spans="1:78">
      <c r="A191" t="s">
        <v>103</v>
      </c>
      <c r="B191" t="s">
        <v>261</v>
      </c>
      <c r="C191" t="s">
        <v>262</v>
      </c>
      <c r="D191" t="s">
        <v>263</v>
      </c>
      <c r="E191">
        <v>149</v>
      </c>
      <c r="F191" t="s">
        <v>159</v>
      </c>
      <c r="G191">
        <v>1442208</v>
      </c>
      <c r="H191">
        <v>1151766</v>
      </c>
      <c r="I191">
        <v>37048397</v>
      </c>
      <c r="J191" t="s">
        <v>264</v>
      </c>
      <c r="K191" t="str">
        <f t="shared" si="8"/>
        <v>244199105</v>
      </c>
      <c r="L191">
        <v>244199105</v>
      </c>
      <c r="M191" t="s">
        <v>265</v>
      </c>
      <c r="N191" t="s">
        <v>110</v>
      </c>
      <c r="O191" t="s">
        <v>111</v>
      </c>
      <c r="P191" t="s">
        <v>111</v>
      </c>
      <c r="Q191" t="s">
        <v>112</v>
      </c>
      <c r="R191" t="s">
        <v>266</v>
      </c>
      <c r="S191" t="s">
        <v>267</v>
      </c>
      <c r="T191" t="s">
        <v>268</v>
      </c>
      <c r="U191">
        <v>9</v>
      </c>
      <c r="V191">
        <v>9</v>
      </c>
      <c r="W191" t="str">
        <f>"1i."</f>
        <v>1i.</v>
      </c>
      <c r="X191" t="s">
        <v>278</v>
      </c>
      <c r="Y191">
        <v>3527302</v>
      </c>
      <c r="Z191">
        <v>388272</v>
      </c>
      <c r="AA191" t="s">
        <v>94</v>
      </c>
      <c r="AB191" t="s">
        <v>95</v>
      </c>
      <c r="AC191" t="s">
        <v>96</v>
      </c>
      <c r="AD191" t="s">
        <v>95</v>
      </c>
      <c r="AE191" t="s">
        <v>95</v>
      </c>
      <c r="AF191" t="s">
        <v>95</v>
      </c>
      <c r="AN191" t="s">
        <v>95</v>
      </c>
      <c r="AQ191" t="s">
        <v>232</v>
      </c>
      <c r="AS191">
        <v>100</v>
      </c>
      <c r="AT191" t="s">
        <v>117</v>
      </c>
      <c r="AU191" t="s">
        <v>118</v>
      </c>
      <c r="AV191">
        <v>1981</v>
      </c>
      <c r="AW191">
        <v>1981</v>
      </c>
      <c r="AX191">
        <v>1981</v>
      </c>
      <c r="AY191">
        <v>0</v>
      </c>
      <c r="AZ191" s="1">
        <v>46055</v>
      </c>
      <c r="BB191">
        <v>499065</v>
      </c>
      <c r="BC191" t="s">
        <v>99</v>
      </c>
      <c r="BD191" t="s">
        <v>137</v>
      </c>
      <c r="BE191" s="1">
        <v>46083</v>
      </c>
      <c r="BG191" t="s">
        <v>100</v>
      </c>
      <c r="BH191" t="str">
        <f t="shared" si="9"/>
        <v>936382085</v>
      </c>
      <c r="BI191" t="s">
        <v>101</v>
      </c>
      <c r="BJ191" t="s">
        <v>102</v>
      </c>
      <c r="BK191" t="s">
        <v>102</v>
      </c>
      <c r="BL191">
        <v>204870560</v>
      </c>
      <c r="BM191">
        <v>1787625</v>
      </c>
      <c r="BN191">
        <v>522380</v>
      </c>
      <c r="BO191">
        <v>0</v>
      </c>
      <c r="BP191">
        <v>0</v>
      </c>
      <c r="BQ191">
        <v>0</v>
      </c>
      <c r="BR191">
        <v>0</v>
      </c>
      <c r="BS191">
        <v>207180565</v>
      </c>
      <c r="BT191">
        <v>98.89</v>
      </c>
      <c r="BU191">
        <v>0.86</v>
      </c>
      <c r="BV191">
        <v>0.25</v>
      </c>
      <c r="BW191">
        <v>0</v>
      </c>
      <c r="BX191">
        <v>0</v>
      </c>
      <c r="BY191">
        <v>0</v>
      </c>
      <c r="BZ191">
        <v>0</v>
      </c>
    </row>
    <row r="192" spans="1:78">
      <c r="A192" t="s">
        <v>103</v>
      </c>
      <c r="B192" t="s">
        <v>261</v>
      </c>
      <c r="C192" t="s">
        <v>262</v>
      </c>
      <c r="D192" t="s">
        <v>263</v>
      </c>
      <c r="E192">
        <v>149</v>
      </c>
      <c r="F192" t="s">
        <v>159</v>
      </c>
      <c r="G192">
        <v>1442208</v>
      </c>
      <c r="H192">
        <v>1151766</v>
      </c>
      <c r="I192">
        <v>37048397</v>
      </c>
      <c r="J192" t="s">
        <v>264</v>
      </c>
      <c r="K192" t="str">
        <f t="shared" si="8"/>
        <v>244199105</v>
      </c>
      <c r="L192">
        <v>244199105</v>
      </c>
      <c r="M192" t="s">
        <v>265</v>
      </c>
      <c r="N192" t="s">
        <v>110</v>
      </c>
      <c r="O192" t="s">
        <v>111</v>
      </c>
      <c r="P192" t="s">
        <v>111</v>
      </c>
      <c r="Q192" t="s">
        <v>112</v>
      </c>
      <c r="R192" t="s">
        <v>266</v>
      </c>
      <c r="S192" t="s">
        <v>267</v>
      </c>
      <c r="T192" t="s">
        <v>268</v>
      </c>
      <c r="U192">
        <v>10</v>
      </c>
      <c r="V192">
        <v>10</v>
      </c>
      <c r="W192" t="str">
        <f>"1j."</f>
        <v>1j.</v>
      </c>
      <c r="X192" t="s">
        <v>279</v>
      </c>
      <c r="Y192">
        <v>3527299</v>
      </c>
      <c r="Z192">
        <v>265026</v>
      </c>
      <c r="AA192" t="s">
        <v>94</v>
      </c>
      <c r="AB192" t="s">
        <v>95</v>
      </c>
      <c r="AC192" t="s">
        <v>96</v>
      </c>
      <c r="AD192" t="s">
        <v>95</v>
      </c>
      <c r="AE192" t="s">
        <v>95</v>
      </c>
      <c r="AF192" t="s">
        <v>95</v>
      </c>
      <c r="AN192" t="s">
        <v>95</v>
      </c>
      <c r="AQ192" t="s">
        <v>232</v>
      </c>
      <c r="AS192">
        <v>100</v>
      </c>
      <c r="AT192" t="s">
        <v>117</v>
      </c>
      <c r="AU192" t="s">
        <v>118</v>
      </c>
      <c r="AV192">
        <v>1981</v>
      </c>
      <c r="AW192">
        <v>1981</v>
      </c>
      <c r="AX192">
        <v>1981</v>
      </c>
      <c r="AY192">
        <v>0</v>
      </c>
      <c r="AZ192" s="1">
        <v>46055</v>
      </c>
      <c r="BB192">
        <v>499065</v>
      </c>
      <c r="BC192" t="s">
        <v>99</v>
      </c>
      <c r="BD192" t="s">
        <v>137</v>
      </c>
      <c r="BE192" s="1">
        <v>46083</v>
      </c>
      <c r="BG192" t="s">
        <v>100</v>
      </c>
      <c r="BH192" t="str">
        <f t="shared" si="9"/>
        <v>936382085</v>
      </c>
      <c r="BI192" t="s">
        <v>101</v>
      </c>
      <c r="BJ192" t="s">
        <v>102</v>
      </c>
      <c r="BK192" t="s">
        <v>102</v>
      </c>
      <c r="BL192">
        <v>202499689</v>
      </c>
      <c r="BM192">
        <v>4158903</v>
      </c>
      <c r="BN192">
        <v>521973</v>
      </c>
      <c r="BO192">
        <v>0</v>
      </c>
      <c r="BP192">
        <v>0</v>
      </c>
      <c r="BQ192">
        <v>0</v>
      </c>
      <c r="BR192">
        <v>0</v>
      </c>
      <c r="BS192">
        <v>207180565</v>
      </c>
      <c r="BT192">
        <v>97.74</v>
      </c>
      <c r="BU192">
        <v>2.0099999999999998</v>
      </c>
      <c r="BV192">
        <v>0.25</v>
      </c>
      <c r="BW192">
        <v>0</v>
      </c>
      <c r="BX192">
        <v>0</v>
      </c>
      <c r="BY192">
        <v>0</v>
      </c>
      <c r="BZ192">
        <v>0</v>
      </c>
    </row>
    <row r="193" spans="1:78">
      <c r="A193" t="s">
        <v>103</v>
      </c>
      <c r="B193" t="s">
        <v>261</v>
      </c>
      <c r="C193" t="s">
        <v>262</v>
      </c>
      <c r="D193" t="s">
        <v>263</v>
      </c>
      <c r="E193">
        <v>149</v>
      </c>
      <c r="F193" t="s">
        <v>159</v>
      </c>
      <c r="G193">
        <v>1442208</v>
      </c>
      <c r="H193">
        <v>1151766</v>
      </c>
      <c r="I193">
        <v>37048397</v>
      </c>
      <c r="J193" t="s">
        <v>264</v>
      </c>
      <c r="K193" t="str">
        <f t="shared" si="8"/>
        <v>244199105</v>
      </c>
      <c r="L193">
        <v>244199105</v>
      </c>
      <c r="M193" t="s">
        <v>265</v>
      </c>
      <c r="N193" t="s">
        <v>110</v>
      </c>
      <c r="O193" t="s">
        <v>111</v>
      </c>
      <c r="P193" t="s">
        <v>111</v>
      </c>
      <c r="Q193" t="s">
        <v>112</v>
      </c>
      <c r="R193" t="s">
        <v>266</v>
      </c>
      <c r="S193" t="s">
        <v>267</v>
      </c>
      <c r="T193" t="s">
        <v>268</v>
      </c>
      <c r="U193">
        <v>11</v>
      </c>
      <c r="V193">
        <v>11</v>
      </c>
      <c r="W193" t="str">
        <f>"2."</f>
        <v>2.</v>
      </c>
      <c r="X193" t="s">
        <v>127</v>
      </c>
      <c r="AA193" t="s">
        <v>94</v>
      </c>
      <c r="AB193" t="s">
        <v>95</v>
      </c>
      <c r="AC193" t="s">
        <v>96</v>
      </c>
      <c r="AD193" t="s">
        <v>95</v>
      </c>
      <c r="AE193" t="s">
        <v>123</v>
      </c>
      <c r="AF193" t="s">
        <v>123</v>
      </c>
      <c r="AN193" t="s">
        <v>123</v>
      </c>
      <c r="AO193" t="str">
        <f>"The Company does not link any long-term incentive grant to sustainability metrics."</f>
        <v>The Company does not link any long-term incentive grant to sustainability metrics.</v>
      </c>
      <c r="AP193" t="str">
        <f>"The Company has pay for performance issues and does not link any long-term incentive grant to sustainability metrics."</f>
        <v>The Company has pay for performance issues and does not link any long-term incentive grant to sustainability metrics.</v>
      </c>
      <c r="AQ193" t="s">
        <v>232</v>
      </c>
      <c r="AS193">
        <v>605</v>
      </c>
      <c r="AT193" t="s">
        <v>128</v>
      </c>
      <c r="AU193" t="s">
        <v>127</v>
      </c>
      <c r="AV193">
        <v>1981</v>
      </c>
      <c r="AW193">
        <v>1981</v>
      </c>
      <c r="AX193">
        <v>1981</v>
      </c>
      <c r="AY193">
        <v>0</v>
      </c>
      <c r="AZ193" s="1">
        <v>46055</v>
      </c>
      <c r="BB193">
        <v>499065</v>
      </c>
      <c r="BC193" t="s">
        <v>99</v>
      </c>
      <c r="BD193" t="s">
        <v>137</v>
      </c>
      <c r="BE193" s="1">
        <v>46083</v>
      </c>
      <c r="BG193" t="s">
        <v>100</v>
      </c>
      <c r="BH193" t="str">
        <f t="shared" si="9"/>
        <v>936382085</v>
      </c>
      <c r="BI193" t="s">
        <v>101</v>
      </c>
      <c r="BJ193" t="s">
        <v>102</v>
      </c>
      <c r="BK193" t="s">
        <v>123</v>
      </c>
      <c r="BL193">
        <v>190345717</v>
      </c>
      <c r="BM193">
        <v>16140154</v>
      </c>
      <c r="BN193">
        <v>694694</v>
      </c>
      <c r="BO193">
        <v>0</v>
      </c>
      <c r="BP193">
        <v>0</v>
      </c>
      <c r="BQ193">
        <v>0</v>
      </c>
      <c r="BR193">
        <v>0</v>
      </c>
      <c r="BS193">
        <v>207180565</v>
      </c>
      <c r="BT193">
        <v>91.87</v>
      </c>
      <c r="BU193">
        <v>7.79</v>
      </c>
      <c r="BV193">
        <v>0.34</v>
      </c>
      <c r="BW193">
        <v>0</v>
      </c>
      <c r="BX193">
        <v>0</v>
      </c>
      <c r="BY193">
        <v>0</v>
      </c>
      <c r="BZ193">
        <v>0</v>
      </c>
    </row>
    <row r="194" spans="1:78">
      <c r="A194" t="s">
        <v>103</v>
      </c>
      <c r="B194" t="s">
        <v>261</v>
      </c>
      <c r="C194" t="s">
        <v>262</v>
      </c>
      <c r="D194" t="s">
        <v>263</v>
      </c>
      <c r="E194">
        <v>149</v>
      </c>
      <c r="F194" t="s">
        <v>159</v>
      </c>
      <c r="G194">
        <v>1442208</v>
      </c>
      <c r="H194">
        <v>1151766</v>
      </c>
      <c r="I194">
        <v>37048397</v>
      </c>
      <c r="J194" t="s">
        <v>264</v>
      </c>
      <c r="K194" t="str">
        <f t="shared" si="8"/>
        <v>244199105</v>
      </c>
      <c r="L194">
        <v>244199105</v>
      </c>
      <c r="M194" t="s">
        <v>265</v>
      </c>
      <c r="N194" t="s">
        <v>110</v>
      </c>
      <c r="O194" t="s">
        <v>111</v>
      </c>
      <c r="P194" t="s">
        <v>111</v>
      </c>
      <c r="Q194" t="s">
        <v>112</v>
      </c>
      <c r="R194" t="s">
        <v>266</v>
      </c>
      <c r="S194" t="s">
        <v>267</v>
      </c>
      <c r="T194" t="s">
        <v>268</v>
      </c>
      <c r="U194">
        <v>12</v>
      </c>
      <c r="V194">
        <v>12</v>
      </c>
      <c r="W194" t="str">
        <f>"3."</f>
        <v>3.</v>
      </c>
      <c r="X194" t="s">
        <v>125</v>
      </c>
      <c r="AA194" t="s">
        <v>94</v>
      </c>
      <c r="AB194" t="s">
        <v>95</v>
      </c>
      <c r="AC194" t="s">
        <v>96</v>
      </c>
      <c r="AD194" t="s">
        <v>95</v>
      </c>
      <c r="AE194" t="s">
        <v>123</v>
      </c>
      <c r="AF194" t="s">
        <v>123</v>
      </c>
      <c r="AN194" t="s">
        <v>123</v>
      </c>
      <c r="AO194" t="str">
        <f>"The auditor's tenure is excessive."</f>
        <v>The auditor's tenure is excessive.</v>
      </c>
      <c r="AP194" t="str">
        <f>"The auditor's tenure is excessive."</f>
        <v>The auditor's tenure is excessive.</v>
      </c>
      <c r="AQ194" t="s">
        <v>232</v>
      </c>
      <c r="AS194">
        <v>200</v>
      </c>
      <c r="AT194" t="s">
        <v>126</v>
      </c>
      <c r="AU194" t="s">
        <v>125</v>
      </c>
      <c r="AV194">
        <v>1981</v>
      </c>
      <c r="AW194">
        <v>1981</v>
      </c>
      <c r="AX194">
        <v>1981</v>
      </c>
      <c r="AY194">
        <v>0</v>
      </c>
      <c r="AZ194" s="1">
        <v>46055</v>
      </c>
      <c r="BB194">
        <v>499065</v>
      </c>
      <c r="BC194" t="s">
        <v>99</v>
      </c>
      <c r="BD194" t="s">
        <v>137</v>
      </c>
      <c r="BE194" s="1">
        <v>46083</v>
      </c>
      <c r="BG194" t="s">
        <v>100</v>
      </c>
      <c r="BH194" t="str">
        <f t="shared" si="9"/>
        <v>936382085</v>
      </c>
      <c r="BI194" t="s">
        <v>101</v>
      </c>
      <c r="BJ194" t="s">
        <v>102</v>
      </c>
      <c r="BK194" t="s">
        <v>123</v>
      </c>
      <c r="BL194">
        <v>225438196</v>
      </c>
      <c r="BM194">
        <v>12070053</v>
      </c>
      <c r="BN194">
        <v>505049</v>
      </c>
      <c r="BO194">
        <v>0</v>
      </c>
      <c r="BP194">
        <v>0</v>
      </c>
      <c r="BQ194">
        <v>0</v>
      </c>
      <c r="BR194">
        <v>0</v>
      </c>
      <c r="BS194">
        <v>238013298</v>
      </c>
      <c r="BT194">
        <v>94.72</v>
      </c>
      <c r="BU194">
        <v>5.07</v>
      </c>
      <c r="BV194">
        <v>0.21</v>
      </c>
      <c r="BW194">
        <v>0</v>
      </c>
      <c r="BX194">
        <v>0</v>
      </c>
      <c r="BY194">
        <v>0</v>
      </c>
      <c r="BZ194">
        <v>0</v>
      </c>
    </row>
    <row r="195" spans="1:78">
      <c r="A195" t="s">
        <v>103</v>
      </c>
      <c r="B195" t="s">
        <v>261</v>
      </c>
      <c r="C195" t="s">
        <v>262</v>
      </c>
      <c r="D195" t="s">
        <v>263</v>
      </c>
      <c r="E195">
        <v>149</v>
      </c>
      <c r="F195" t="s">
        <v>159</v>
      </c>
      <c r="G195">
        <v>1442208</v>
      </c>
      <c r="H195">
        <v>1151766</v>
      </c>
      <c r="I195">
        <v>37048397</v>
      </c>
      <c r="J195" t="s">
        <v>264</v>
      </c>
      <c r="K195" t="str">
        <f t="shared" si="8"/>
        <v>244199105</v>
      </c>
      <c r="L195">
        <v>244199105</v>
      </c>
      <c r="M195" t="s">
        <v>265</v>
      </c>
      <c r="N195" t="s">
        <v>110</v>
      </c>
      <c r="O195" t="s">
        <v>111</v>
      </c>
      <c r="P195" t="s">
        <v>111</v>
      </c>
      <c r="Q195" t="s">
        <v>112</v>
      </c>
      <c r="R195" t="s">
        <v>266</v>
      </c>
      <c r="S195" t="s">
        <v>267</v>
      </c>
      <c r="T195" t="s">
        <v>268</v>
      </c>
      <c r="U195">
        <v>13</v>
      </c>
      <c r="V195">
        <v>13</v>
      </c>
      <c r="W195" t="str">
        <f>"4."</f>
        <v>4.</v>
      </c>
      <c r="X195" t="s">
        <v>280</v>
      </c>
      <c r="AA195" t="s">
        <v>281</v>
      </c>
      <c r="AB195" t="s">
        <v>123</v>
      </c>
      <c r="AC195" t="s">
        <v>96</v>
      </c>
      <c r="AD195" t="s">
        <v>123</v>
      </c>
      <c r="AE195" t="s">
        <v>123</v>
      </c>
      <c r="AF195" t="s">
        <v>123</v>
      </c>
      <c r="AN195" t="s">
        <v>95</v>
      </c>
      <c r="AQ195" t="s">
        <v>232</v>
      </c>
      <c r="AS195">
        <v>2605</v>
      </c>
      <c r="AT195" t="s">
        <v>282</v>
      </c>
      <c r="AU195" t="s">
        <v>283</v>
      </c>
      <c r="AV195">
        <v>1981</v>
      </c>
      <c r="AW195">
        <v>1981</v>
      </c>
      <c r="AX195">
        <v>1981</v>
      </c>
      <c r="AY195">
        <v>0</v>
      </c>
      <c r="AZ195" s="1">
        <v>46055</v>
      </c>
      <c r="BB195">
        <v>499065</v>
      </c>
      <c r="BC195" t="s">
        <v>99</v>
      </c>
      <c r="BD195" t="s">
        <v>137</v>
      </c>
      <c r="BE195" s="1">
        <v>46083</v>
      </c>
      <c r="BG195" t="s">
        <v>100</v>
      </c>
      <c r="BH195" t="str">
        <f t="shared" si="9"/>
        <v>936382085</v>
      </c>
      <c r="BI195" t="s">
        <v>101</v>
      </c>
      <c r="BJ195" t="s">
        <v>102</v>
      </c>
      <c r="BK195" t="s">
        <v>102</v>
      </c>
      <c r="BL195">
        <v>2065023</v>
      </c>
      <c r="BM195">
        <v>202929899</v>
      </c>
      <c r="BN195">
        <v>2185643</v>
      </c>
      <c r="BO195">
        <v>0</v>
      </c>
      <c r="BP195">
        <v>0</v>
      </c>
      <c r="BQ195">
        <v>0</v>
      </c>
      <c r="BR195">
        <v>0</v>
      </c>
      <c r="BS195">
        <v>207180565</v>
      </c>
      <c r="BT195">
        <v>1</v>
      </c>
      <c r="BU195">
        <v>97.95</v>
      </c>
      <c r="BV195">
        <v>1.05</v>
      </c>
      <c r="BW195">
        <v>0</v>
      </c>
      <c r="BX195">
        <v>0</v>
      </c>
      <c r="BY195">
        <v>0</v>
      </c>
      <c r="BZ195">
        <v>0</v>
      </c>
    </row>
    <row r="196" spans="1:78">
      <c r="A196" t="s">
        <v>103</v>
      </c>
      <c r="B196" t="s">
        <v>261</v>
      </c>
      <c r="C196" t="s">
        <v>262</v>
      </c>
      <c r="D196" t="s">
        <v>263</v>
      </c>
      <c r="E196">
        <v>149</v>
      </c>
      <c r="F196" t="s">
        <v>159</v>
      </c>
      <c r="G196">
        <v>1442208</v>
      </c>
      <c r="H196">
        <v>1151766</v>
      </c>
      <c r="I196">
        <v>37048397</v>
      </c>
      <c r="J196" t="s">
        <v>264</v>
      </c>
      <c r="K196" t="str">
        <f t="shared" si="8"/>
        <v>244199105</v>
      </c>
      <c r="L196">
        <v>244199105</v>
      </c>
      <c r="M196" t="s">
        <v>265</v>
      </c>
      <c r="N196" t="s">
        <v>110</v>
      </c>
      <c r="O196" t="s">
        <v>111</v>
      </c>
      <c r="P196" t="s">
        <v>111</v>
      </c>
      <c r="Q196" t="s">
        <v>112</v>
      </c>
      <c r="R196" t="s">
        <v>266</v>
      </c>
      <c r="S196" t="s">
        <v>267</v>
      </c>
      <c r="T196" t="s">
        <v>268</v>
      </c>
      <c r="U196">
        <v>14</v>
      </c>
      <c r="V196">
        <v>14</v>
      </c>
      <c r="W196" t="str">
        <f>"5."</f>
        <v>5.</v>
      </c>
      <c r="X196" t="s">
        <v>284</v>
      </c>
      <c r="AA196" t="s">
        <v>281</v>
      </c>
      <c r="AB196" t="s">
        <v>123</v>
      </c>
      <c r="AC196" t="s">
        <v>96</v>
      </c>
      <c r="AD196" t="s">
        <v>95</v>
      </c>
      <c r="AE196" t="s">
        <v>95</v>
      </c>
      <c r="AF196" t="s">
        <v>95</v>
      </c>
      <c r="AN196" t="s">
        <v>123</v>
      </c>
      <c r="AO196" t="str">
        <f>"Shareholder action by written consent enables shareholders to take action on important issues that arise between annual meetings"</f>
        <v>Shareholder action by written consent enables shareholders to take action on important issues that arise between annual meetings</v>
      </c>
      <c r="AP196" t="str">
        <f>"Shareholder action by written consent enables shareholders to take action on important issues that arise between annual meetings"</f>
        <v>Shareholder action by written consent enables shareholders to take action on important issues that arise between annual meetings</v>
      </c>
      <c r="AQ196" t="s">
        <v>232</v>
      </c>
      <c r="AS196">
        <v>2580</v>
      </c>
      <c r="AT196" t="s">
        <v>285</v>
      </c>
      <c r="AU196" t="s">
        <v>286</v>
      </c>
      <c r="AV196">
        <v>1981</v>
      </c>
      <c r="AW196">
        <v>1981</v>
      </c>
      <c r="AX196">
        <v>1981</v>
      </c>
      <c r="AY196">
        <v>0</v>
      </c>
      <c r="AZ196" s="1">
        <v>46055</v>
      </c>
      <c r="BB196">
        <v>499065</v>
      </c>
      <c r="BC196" t="s">
        <v>99</v>
      </c>
      <c r="BD196" t="s">
        <v>137</v>
      </c>
      <c r="BE196" s="1">
        <v>46083</v>
      </c>
      <c r="BG196" t="s">
        <v>100</v>
      </c>
      <c r="BH196" t="str">
        <f t="shared" si="9"/>
        <v>936382085</v>
      </c>
      <c r="BI196" t="s">
        <v>101</v>
      </c>
      <c r="BJ196" t="s">
        <v>102</v>
      </c>
      <c r="BK196" t="s">
        <v>102</v>
      </c>
      <c r="BL196">
        <v>79390748</v>
      </c>
      <c r="BM196">
        <v>126866664</v>
      </c>
      <c r="BN196">
        <v>923153</v>
      </c>
      <c r="BO196">
        <v>0</v>
      </c>
      <c r="BP196">
        <v>0</v>
      </c>
      <c r="BQ196">
        <v>0</v>
      </c>
      <c r="BR196">
        <v>0</v>
      </c>
      <c r="BS196">
        <v>207180565</v>
      </c>
      <c r="BT196">
        <v>38.32</v>
      </c>
      <c r="BU196">
        <v>61.23</v>
      </c>
      <c r="BV196">
        <v>0.45</v>
      </c>
      <c r="BW196">
        <v>0</v>
      </c>
      <c r="BX196">
        <v>0</v>
      </c>
      <c r="BY196">
        <v>0</v>
      </c>
      <c r="BZ196">
        <v>0</v>
      </c>
    </row>
    <row r="197" spans="1:78">
      <c r="A197" t="s">
        <v>103</v>
      </c>
      <c r="B197" t="s">
        <v>261</v>
      </c>
      <c r="C197" t="s">
        <v>262</v>
      </c>
      <c r="D197" t="s">
        <v>263</v>
      </c>
      <c r="E197">
        <v>149</v>
      </c>
      <c r="F197" t="s">
        <v>159</v>
      </c>
      <c r="G197">
        <v>1442208</v>
      </c>
      <c r="H197">
        <v>1151766</v>
      </c>
      <c r="I197">
        <v>37048397</v>
      </c>
      <c r="J197" t="s">
        <v>264</v>
      </c>
      <c r="K197" t="str">
        <f t="shared" si="8"/>
        <v>244199105</v>
      </c>
      <c r="L197">
        <v>244199105</v>
      </c>
      <c r="M197" t="s">
        <v>265</v>
      </c>
      <c r="N197" t="s">
        <v>110</v>
      </c>
      <c r="O197" t="s">
        <v>111</v>
      </c>
      <c r="P197" t="s">
        <v>111</v>
      </c>
      <c r="Q197" t="s">
        <v>112</v>
      </c>
      <c r="R197" t="s">
        <v>266</v>
      </c>
      <c r="S197" t="s">
        <v>267</v>
      </c>
      <c r="T197" t="s">
        <v>268</v>
      </c>
      <c r="U197">
        <v>15</v>
      </c>
      <c r="V197">
        <v>15</v>
      </c>
      <c r="W197" t="str">
        <f>"6."</f>
        <v>6.</v>
      </c>
      <c r="X197" t="s">
        <v>287</v>
      </c>
      <c r="AA197" t="s">
        <v>281</v>
      </c>
      <c r="AB197" t="s">
        <v>123</v>
      </c>
      <c r="AC197" t="s">
        <v>96</v>
      </c>
      <c r="AD197" t="s">
        <v>123</v>
      </c>
      <c r="AE197" t="s">
        <v>123</v>
      </c>
      <c r="AF197" t="s">
        <v>123</v>
      </c>
      <c r="AN197" t="s">
        <v>95</v>
      </c>
      <c r="AQ197" t="s">
        <v>232</v>
      </c>
      <c r="AS197">
        <v>2796</v>
      </c>
      <c r="AT197" t="s">
        <v>288</v>
      </c>
      <c r="AU197" t="s">
        <v>289</v>
      </c>
      <c r="AV197">
        <v>1981</v>
      </c>
      <c r="AW197">
        <v>1981</v>
      </c>
      <c r="AX197">
        <v>1981</v>
      </c>
      <c r="AY197">
        <v>0</v>
      </c>
      <c r="AZ197" s="1">
        <v>46055</v>
      </c>
      <c r="BB197">
        <v>499065</v>
      </c>
      <c r="BC197" t="s">
        <v>99</v>
      </c>
      <c r="BD197" t="s">
        <v>137</v>
      </c>
      <c r="BE197" s="1">
        <v>46083</v>
      </c>
      <c r="BG197" t="s">
        <v>100</v>
      </c>
      <c r="BH197" t="str">
        <f t="shared" si="9"/>
        <v>936382085</v>
      </c>
      <c r="BI197" t="s">
        <v>101</v>
      </c>
      <c r="BJ197" t="s">
        <v>102</v>
      </c>
      <c r="BK197" t="s">
        <v>102</v>
      </c>
      <c r="BL197">
        <v>1313347</v>
      </c>
      <c r="BM197">
        <v>203198068</v>
      </c>
      <c r="BN197">
        <v>2669150</v>
      </c>
      <c r="BO197">
        <v>0</v>
      </c>
      <c r="BP197">
        <v>0</v>
      </c>
      <c r="BQ197">
        <v>0</v>
      </c>
      <c r="BR197">
        <v>0</v>
      </c>
      <c r="BS197">
        <v>207180565</v>
      </c>
      <c r="BT197">
        <v>0.63</v>
      </c>
      <c r="BU197">
        <v>98.08</v>
      </c>
      <c r="BV197">
        <v>1.29</v>
      </c>
      <c r="BW197">
        <v>0</v>
      </c>
      <c r="BX197">
        <v>0</v>
      </c>
      <c r="BY197">
        <v>0</v>
      </c>
      <c r="BZ197">
        <v>0</v>
      </c>
    </row>
    <row r="198" spans="1:78">
      <c r="A198" t="s">
        <v>80</v>
      </c>
      <c r="B198" t="s">
        <v>81</v>
      </c>
      <c r="C198" t="s">
        <v>82</v>
      </c>
      <c r="D198" t="s">
        <v>83</v>
      </c>
      <c r="E198">
        <v>32818</v>
      </c>
      <c r="F198" t="s">
        <v>84</v>
      </c>
      <c r="G198">
        <v>1462023</v>
      </c>
      <c r="H198">
        <v>1159636</v>
      </c>
      <c r="I198">
        <v>37185522</v>
      </c>
      <c r="J198">
        <v>437862</v>
      </c>
      <c r="L198" t="s">
        <v>85</v>
      </c>
      <c r="M198" t="s">
        <v>86</v>
      </c>
      <c r="N198" t="s">
        <v>87</v>
      </c>
      <c r="O198" t="s">
        <v>88</v>
      </c>
      <c r="P198" t="s">
        <v>89</v>
      </c>
      <c r="Q198" t="s">
        <v>90</v>
      </c>
      <c r="R198" t="s">
        <v>290</v>
      </c>
      <c r="T198" t="s">
        <v>291</v>
      </c>
      <c r="U198">
        <v>1</v>
      </c>
      <c r="V198">
        <v>1</v>
      </c>
      <c r="W198" t="str">
        <f>"1"</f>
        <v>1</v>
      </c>
      <c r="X198" t="s">
        <v>292</v>
      </c>
      <c r="AA198" t="s">
        <v>94</v>
      </c>
      <c r="AB198" t="s">
        <v>95</v>
      </c>
      <c r="AC198" t="s">
        <v>96</v>
      </c>
      <c r="AD198" t="s">
        <v>95</v>
      </c>
      <c r="AE198" t="s">
        <v>95</v>
      </c>
      <c r="AF198" t="s">
        <v>95</v>
      </c>
      <c r="AN198" t="s">
        <v>95</v>
      </c>
      <c r="AQ198" t="s">
        <v>293</v>
      </c>
      <c r="AS198">
        <v>6230</v>
      </c>
      <c r="AT198" t="s">
        <v>140</v>
      </c>
      <c r="AU198" t="s">
        <v>294</v>
      </c>
      <c r="AV198">
        <v>175302</v>
      </c>
      <c r="AW198">
        <v>175302</v>
      </c>
      <c r="AY198">
        <v>0</v>
      </c>
      <c r="BB198">
        <v>503489</v>
      </c>
      <c r="BC198" t="s">
        <v>99</v>
      </c>
      <c r="BD198" s="1">
        <v>46144</v>
      </c>
      <c r="BE198" t="s">
        <v>293</v>
      </c>
      <c r="BG198" t="s">
        <v>100</v>
      </c>
      <c r="BH198" t="str">
        <f>"720897050"</f>
        <v>720897050</v>
      </c>
      <c r="BI198" t="s">
        <v>101</v>
      </c>
      <c r="BJ198" t="s">
        <v>102</v>
      </c>
      <c r="BK198" t="s">
        <v>102</v>
      </c>
      <c r="BL198">
        <v>15736858</v>
      </c>
      <c r="BM198">
        <v>2229</v>
      </c>
      <c r="BN198">
        <v>0</v>
      </c>
      <c r="BO198">
        <v>204</v>
      </c>
      <c r="BP198">
        <v>0</v>
      </c>
      <c r="BQ198">
        <v>0</v>
      </c>
      <c r="BR198">
        <v>0</v>
      </c>
      <c r="BS198">
        <v>15739291</v>
      </c>
      <c r="BT198">
        <v>99.98</v>
      </c>
      <c r="BU198">
        <v>0.01</v>
      </c>
      <c r="BV198">
        <v>0</v>
      </c>
      <c r="BW198">
        <v>0</v>
      </c>
      <c r="BX198">
        <v>0</v>
      </c>
      <c r="BY198">
        <v>0</v>
      </c>
      <c r="BZ198">
        <v>0</v>
      </c>
    </row>
    <row r="199" spans="1:78">
      <c r="A199" t="s">
        <v>80</v>
      </c>
      <c r="B199" t="s">
        <v>295</v>
      </c>
      <c r="C199" t="s">
        <v>130</v>
      </c>
      <c r="D199" t="s">
        <v>296</v>
      </c>
      <c r="E199">
        <v>46252</v>
      </c>
      <c r="G199">
        <v>1457591</v>
      </c>
      <c r="H199">
        <v>1156324</v>
      </c>
      <c r="I199">
        <v>37122846</v>
      </c>
      <c r="J199">
        <v>433730</v>
      </c>
      <c r="L199" t="s">
        <v>297</v>
      </c>
      <c r="M199" t="s">
        <v>298</v>
      </c>
      <c r="N199" t="s">
        <v>87</v>
      </c>
      <c r="O199" t="s">
        <v>89</v>
      </c>
      <c r="P199" t="s">
        <v>89</v>
      </c>
      <c r="Q199" t="s">
        <v>112</v>
      </c>
      <c r="R199" t="s">
        <v>290</v>
      </c>
      <c r="T199" t="s">
        <v>291</v>
      </c>
      <c r="U199">
        <v>1</v>
      </c>
      <c r="V199">
        <v>1</v>
      </c>
      <c r="W199" t="str">
        <f>"1"</f>
        <v>1</v>
      </c>
      <c r="X199" t="s">
        <v>211</v>
      </c>
      <c r="AA199" t="s">
        <v>94</v>
      </c>
      <c r="AB199" t="s">
        <v>95</v>
      </c>
      <c r="AC199" t="s">
        <v>96</v>
      </c>
      <c r="AD199" t="s">
        <v>123</v>
      </c>
      <c r="AE199" t="s">
        <v>123</v>
      </c>
      <c r="AF199" t="s">
        <v>95</v>
      </c>
      <c r="AN199" t="s">
        <v>95</v>
      </c>
      <c r="AP199" t="str">
        <f>"Auditor issued a qualified opinion"</f>
        <v>Auditor issued a qualified opinion</v>
      </c>
      <c r="AQ199" t="s">
        <v>232</v>
      </c>
      <c r="AS199">
        <v>5030</v>
      </c>
      <c r="AT199" t="s">
        <v>126</v>
      </c>
      <c r="AU199" t="s">
        <v>212</v>
      </c>
      <c r="AV199">
        <v>7433395</v>
      </c>
      <c r="AW199">
        <v>7433395</v>
      </c>
      <c r="AY199">
        <v>0</v>
      </c>
      <c r="AZ199" s="1">
        <v>46267</v>
      </c>
      <c r="BB199">
        <v>501990</v>
      </c>
      <c r="BC199" t="s">
        <v>99</v>
      </c>
      <c r="BD199" s="1">
        <v>46144</v>
      </c>
      <c r="BE199" s="1">
        <v>46267</v>
      </c>
      <c r="BG199" t="s">
        <v>100</v>
      </c>
      <c r="BH199" t="str">
        <f t="shared" ref="BH199:BH208" si="10">"720863718"</f>
        <v>720863718</v>
      </c>
      <c r="BI199" t="s">
        <v>101</v>
      </c>
      <c r="BJ199" t="s">
        <v>123</v>
      </c>
      <c r="BK199" t="s">
        <v>123</v>
      </c>
      <c r="BL199">
        <v>343590966</v>
      </c>
      <c r="BM199">
        <v>113238125</v>
      </c>
      <c r="BN199">
        <v>0</v>
      </c>
      <c r="BO199">
        <v>49891971</v>
      </c>
      <c r="BP199">
        <v>0</v>
      </c>
      <c r="BQ199">
        <v>0</v>
      </c>
      <c r="BR199">
        <v>0</v>
      </c>
      <c r="BS199">
        <v>506721062</v>
      </c>
      <c r="BT199">
        <v>67.81</v>
      </c>
      <c r="BU199">
        <v>22.35</v>
      </c>
      <c r="BV199">
        <v>0</v>
      </c>
      <c r="BW199">
        <v>9.85</v>
      </c>
      <c r="BX199">
        <v>0</v>
      </c>
      <c r="BY199">
        <v>0</v>
      </c>
      <c r="BZ199">
        <v>0</v>
      </c>
    </row>
    <row r="200" spans="1:78">
      <c r="A200" t="s">
        <v>80</v>
      </c>
      <c r="B200" t="s">
        <v>295</v>
      </c>
      <c r="C200" t="s">
        <v>130</v>
      </c>
      <c r="D200" t="s">
        <v>296</v>
      </c>
      <c r="E200">
        <v>46252</v>
      </c>
      <c r="G200">
        <v>1457591</v>
      </c>
      <c r="H200">
        <v>1156324</v>
      </c>
      <c r="I200">
        <v>37122846</v>
      </c>
      <c r="J200">
        <v>433730</v>
      </c>
      <c r="L200" t="s">
        <v>297</v>
      </c>
      <c r="M200" t="s">
        <v>298</v>
      </c>
      <c r="N200" t="s">
        <v>87</v>
      </c>
      <c r="O200" t="s">
        <v>89</v>
      </c>
      <c r="P200" t="s">
        <v>89</v>
      </c>
      <c r="Q200" t="s">
        <v>112</v>
      </c>
      <c r="R200" t="s">
        <v>290</v>
      </c>
      <c r="T200" t="s">
        <v>291</v>
      </c>
      <c r="U200">
        <v>2</v>
      </c>
      <c r="V200">
        <v>2</v>
      </c>
      <c r="W200" t="str">
        <f>"2"</f>
        <v>2</v>
      </c>
      <c r="X200" t="s">
        <v>193</v>
      </c>
      <c r="AA200" t="s">
        <v>94</v>
      </c>
      <c r="AB200" t="s">
        <v>95</v>
      </c>
      <c r="AC200" t="s">
        <v>96</v>
      </c>
      <c r="AD200" t="s">
        <v>95</v>
      </c>
      <c r="AE200" t="s">
        <v>95</v>
      </c>
      <c r="AF200" t="s">
        <v>95</v>
      </c>
      <c r="AN200" t="s">
        <v>95</v>
      </c>
      <c r="AQ200" t="s">
        <v>232</v>
      </c>
      <c r="AS200">
        <v>5500</v>
      </c>
      <c r="AT200" t="s">
        <v>128</v>
      </c>
      <c r="AU200" t="s">
        <v>214</v>
      </c>
      <c r="AV200">
        <v>7433395</v>
      </c>
      <c r="AW200">
        <v>7433395</v>
      </c>
      <c r="AY200">
        <v>0</v>
      </c>
      <c r="AZ200" s="1">
        <v>46267</v>
      </c>
      <c r="BB200">
        <v>501990</v>
      </c>
      <c r="BC200" t="s">
        <v>99</v>
      </c>
      <c r="BD200" s="1">
        <v>46144</v>
      </c>
      <c r="BE200" s="1">
        <v>46267</v>
      </c>
      <c r="BG200" t="s">
        <v>100</v>
      </c>
      <c r="BH200" t="str">
        <f t="shared" si="10"/>
        <v>720863718</v>
      </c>
      <c r="BI200" t="s">
        <v>101</v>
      </c>
      <c r="BJ200" t="s">
        <v>102</v>
      </c>
      <c r="BK200" t="s">
        <v>102</v>
      </c>
      <c r="BL200">
        <v>485654304</v>
      </c>
      <c r="BM200">
        <v>20967000</v>
      </c>
      <c r="BN200">
        <v>0</v>
      </c>
      <c r="BO200">
        <v>99758</v>
      </c>
      <c r="BP200">
        <v>0</v>
      </c>
      <c r="BQ200">
        <v>0</v>
      </c>
      <c r="BR200">
        <v>0</v>
      </c>
      <c r="BS200">
        <v>506721062</v>
      </c>
      <c r="BT200">
        <v>95.84</v>
      </c>
      <c r="BU200">
        <v>4.1399999999999997</v>
      </c>
      <c r="BV200">
        <v>0</v>
      </c>
      <c r="BW200">
        <v>0.02</v>
      </c>
      <c r="BX200">
        <v>0</v>
      </c>
      <c r="BY200">
        <v>0</v>
      </c>
      <c r="BZ200">
        <v>0</v>
      </c>
    </row>
    <row r="201" spans="1:78">
      <c r="A201" t="s">
        <v>80</v>
      </c>
      <c r="B201" t="s">
        <v>295</v>
      </c>
      <c r="C201" t="s">
        <v>130</v>
      </c>
      <c r="D201" t="s">
        <v>296</v>
      </c>
      <c r="E201">
        <v>46252</v>
      </c>
      <c r="G201">
        <v>1457591</v>
      </c>
      <c r="H201">
        <v>1156324</v>
      </c>
      <c r="I201">
        <v>37122846</v>
      </c>
      <c r="J201">
        <v>433730</v>
      </c>
      <c r="L201" t="s">
        <v>297</v>
      </c>
      <c r="M201" t="s">
        <v>298</v>
      </c>
      <c r="N201" t="s">
        <v>87</v>
      </c>
      <c r="O201" t="s">
        <v>89</v>
      </c>
      <c r="P201" t="s">
        <v>89</v>
      </c>
      <c r="Q201" t="s">
        <v>112</v>
      </c>
      <c r="R201" t="s">
        <v>290</v>
      </c>
      <c r="T201" t="s">
        <v>291</v>
      </c>
      <c r="U201">
        <v>3</v>
      </c>
      <c r="V201">
        <v>3</v>
      </c>
      <c r="W201" t="str">
        <f>"3"</f>
        <v>3</v>
      </c>
      <c r="X201" t="s">
        <v>299</v>
      </c>
      <c r="Y201">
        <v>3530318</v>
      </c>
      <c r="Z201">
        <v>634775</v>
      </c>
      <c r="AA201" t="s">
        <v>94</v>
      </c>
      <c r="AB201" t="s">
        <v>95</v>
      </c>
      <c r="AC201" t="s">
        <v>96</v>
      </c>
      <c r="AD201" t="s">
        <v>95</v>
      </c>
      <c r="AE201" t="s">
        <v>95</v>
      </c>
      <c r="AF201" t="s">
        <v>95</v>
      </c>
      <c r="AN201" t="s">
        <v>95</v>
      </c>
      <c r="AQ201" t="s">
        <v>232</v>
      </c>
      <c r="AS201">
        <v>5100</v>
      </c>
      <c r="AT201" t="s">
        <v>117</v>
      </c>
      <c r="AU201" t="s">
        <v>118</v>
      </c>
      <c r="AV201">
        <v>7433395</v>
      </c>
      <c r="AW201">
        <v>7433395</v>
      </c>
      <c r="AY201">
        <v>0</v>
      </c>
      <c r="AZ201" s="1">
        <v>46267</v>
      </c>
      <c r="BB201">
        <v>501990</v>
      </c>
      <c r="BC201" t="s">
        <v>99</v>
      </c>
      <c r="BD201" s="1">
        <v>46144</v>
      </c>
      <c r="BE201" s="1">
        <v>46267</v>
      </c>
      <c r="BG201" t="s">
        <v>100</v>
      </c>
      <c r="BH201" t="str">
        <f t="shared" si="10"/>
        <v>720863718</v>
      </c>
      <c r="BI201" t="s">
        <v>101</v>
      </c>
      <c r="BJ201" t="s">
        <v>102</v>
      </c>
      <c r="BK201" t="s">
        <v>102</v>
      </c>
      <c r="BL201">
        <v>496996546</v>
      </c>
      <c r="BM201">
        <v>9482645</v>
      </c>
      <c r="BN201">
        <v>0</v>
      </c>
      <c r="BO201">
        <v>241871</v>
      </c>
      <c r="BP201">
        <v>0</v>
      </c>
      <c r="BQ201">
        <v>0</v>
      </c>
      <c r="BR201">
        <v>0</v>
      </c>
      <c r="BS201">
        <v>506721062</v>
      </c>
      <c r="BT201">
        <v>98.08</v>
      </c>
      <c r="BU201">
        <v>1.87</v>
      </c>
      <c r="BV201">
        <v>0</v>
      </c>
      <c r="BW201">
        <v>0.05</v>
      </c>
      <c r="BX201">
        <v>0</v>
      </c>
      <c r="BY201">
        <v>0</v>
      </c>
      <c r="BZ201">
        <v>0</v>
      </c>
    </row>
    <row r="202" spans="1:78">
      <c r="A202" t="s">
        <v>80</v>
      </c>
      <c r="B202" t="s">
        <v>295</v>
      </c>
      <c r="C202" t="s">
        <v>130</v>
      </c>
      <c r="D202" t="s">
        <v>296</v>
      </c>
      <c r="E202">
        <v>46252</v>
      </c>
      <c r="G202">
        <v>1457591</v>
      </c>
      <c r="H202">
        <v>1156324</v>
      </c>
      <c r="I202">
        <v>37122846</v>
      </c>
      <c r="J202">
        <v>433730</v>
      </c>
      <c r="L202" t="s">
        <v>297</v>
      </c>
      <c r="M202" t="s">
        <v>298</v>
      </c>
      <c r="N202" t="s">
        <v>87</v>
      </c>
      <c r="O202" t="s">
        <v>89</v>
      </c>
      <c r="P202" t="s">
        <v>89</v>
      </c>
      <c r="Q202" t="s">
        <v>112</v>
      </c>
      <c r="R202" t="s">
        <v>290</v>
      </c>
      <c r="T202" t="s">
        <v>291</v>
      </c>
      <c r="U202">
        <v>4</v>
      </c>
      <c r="V202">
        <v>4</v>
      </c>
      <c r="W202" t="str">
        <f>"4"</f>
        <v>4</v>
      </c>
      <c r="X202" t="s">
        <v>300</v>
      </c>
      <c r="Y202">
        <v>3530317</v>
      </c>
      <c r="Z202">
        <v>305480</v>
      </c>
      <c r="AA202" t="s">
        <v>94</v>
      </c>
      <c r="AB202" t="s">
        <v>95</v>
      </c>
      <c r="AC202" t="s">
        <v>96</v>
      </c>
      <c r="AD202" t="s">
        <v>95</v>
      </c>
      <c r="AE202" t="s">
        <v>123</v>
      </c>
      <c r="AF202" t="s">
        <v>95</v>
      </c>
      <c r="AN202" t="s">
        <v>95</v>
      </c>
      <c r="AP202" t="str">
        <f>"There is insufficient female representation on the board of directors."</f>
        <v>There is insufficient female representation on the board of directors.</v>
      </c>
      <c r="AQ202" t="s">
        <v>232</v>
      </c>
      <c r="AS202">
        <v>5100</v>
      </c>
      <c r="AT202" t="s">
        <v>117</v>
      </c>
      <c r="AU202" t="s">
        <v>118</v>
      </c>
      <c r="AV202">
        <v>7433395</v>
      </c>
      <c r="AW202">
        <v>7433395</v>
      </c>
      <c r="AY202">
        <v>0</v>
      </c>
      <c r="AZ202" s="1">
        <v>46267</v>
      </c>
      <c r="BB202">
        <v>501990</v>
      </c>
      <c r="BC202" t="s">
        <v>99</v>
      </c>
      <c r="BD202" s="1">
        <v>46144</v>
      </c>
      <c r="BE202" s="1">
        <v>46267</v>
      </c>
      <c r="BG202" t="s">
        <v>100</v>
      </c>
      <c r="BH202" t="str">
        <f t="shared" si="10"/>
        <v>720863718</v>
      </c>
      <c r="BI202" t="s">
        <v>101</v>
      </c>
      <c r="BJ202" t="s">
        <v>123</v>
      </c>
      <c r="BK202" t="s">
        <v>102</v>
      </c>
      <c r="BL202">
        <v>493002595</v>
      </c>
      <c r="BM202">
        <v>13476626</v>
      </c>
      <c r="BN202">
        <v>0</v>
      </c>
      <c r="BO202">
        <v>241841</v>
      </c>
      <c r="BP202">
        <v>0</v>
      </c>
      <c r="BQ202">
        <v>0</v>
      </c>
      <c r="BR202">
        <v>0</v>
      </c>
      <c r="BS202">
        <v>506721062</v>
      </c>
      <c r="BT202">
        <v>97.29</v>
      </c>
      <c r="BU202">
        <v>2.66</v>
      </c>
      <c r="BV202">
        <v>0</v>
      </c>
      <c r="BW202">
        <v>0.05</v>
      </c>
      <c r="BX202">
        <v>0</v>
      </c>
      <c r="BY202">
        <v>0</v>
      </c>
      <c r="BZ202">
        <v>0</v>
      </c>
    </row>
    <row r="203" spans="1:78">
      <c r="A203" t="s">
        <v>80</v>
      </c>
      <c r="B203" t="s">
        <v>295</v>
      </c>
      <c r="C203" t="s">
        <v>130</v>
      </c>
      <c r="D203" t="s">
        <v>296</v>
      </c>
      <c r="E203">
        <v>46252</v>
      </c>
      <c r="G203">
        <v>1457591</v>
      </c>
      <c r="H203">
        <v>1156324</v>
      </c>
      <c r="I203">
        <v>37122846</v>
      </c>
      <c r="J203">
        <v>433730</v>
      </c>
      <c r="L203" t="s">
        <v>297</v>
      </c>
      <c r="M203" t="s">
        <v>298</v>
      </c>
      <c r="N203" t="s">
        <v>87</v>
      </c>
      <c r="O203" t="s">
        <v>89</v>
      </c>
      <c r="P203" t="s">
        <v>89</v>
      </c>
      <c r="Q203" t="s">
        <v>112</v>
      </c>
      <c r="R203" t="s">
        <v>290</v>
      </c>
      <c r="T203" t="s">
        <v>291</v>
      </c>
      <c r="U203">
        <v>5</v>
      </c>
      <c r="V203">
        <v>5</v>
      </c>
      <c r="W203" t="str">
        <f>"5"</f>
        <v>5</v>
      </c>
      <c r="X203" t="s">
        <v>301</v>
      </c>
      <c r="Y203">
        <v>3530319</v>
      </c>
      <c r="Z203">
        <v>634776</v>
      </c>
      <c r="AA203" t="s">
        <v>94</v>
      </c>
      <c r="AB203" t="s">
        <v>95</v>
      </c>
      <c r="AC203" t="s">
        <v>96</v>
      </c>
      <c r="AD203" t="s">
        <v>95</v>
      </c>
      <c r="AE203" t="s">
        <v>95</v>
      </c>
      <c r="AF203" t="s">
        <v>95</v>
      </c>
      <c r="AN203" t="s">
        <v>95</v>
      </c>
      <c r="AQ203" t="s">
        <v>232</v>
      </c>
      <c r="AS203">
        <v>5100</v>
      </c>
      <c r="AT203" t="s">
        <v>117</v>
      </c>
      <c r="AU203" t="s">
        <v>118</v>
      </c>
      <c r="AV203">
        <v>7433395</v>
      </c>
      <c r="AW203">
        <v>7433395</v>
      </c>
      <c r="AY203">
        <v>0</v>
      </c>
      <c r="AZ203" s="1">
        <v>46267</v>
      </c>
      <c r="BB203">
        <v>501990</v>
      </c>
      <c r="BC203" t="s">
        <v>99</v>
      </c>
      <c r="BD203" s="1">
        <v>46144</v>
      </c>
      <c r="BE203" s="1">
        <v>46267</v>
      </c>
      <c r="BG203" t="s">
        <v>100</v>
      </c>
      <c r="BH203" t="str">
        <f t="shared" si="10"/>
        <v>720863718</v>
      </c>
      <c r="BI203" t="s">
        <v>101</v>
      </c>
      <c r="BJ203" t="s">
        <v>102</v>
      </c>
      <c r="BK203" t="s">
        <v>102</v>
      </c>
      <c r="BL203">
        <v>500968217</v>
      </c>
      <c r="BM203">
        <v>5511004</v>
      </c>
      <c r="BN203">
        <v>0</v>
      </c>
      <c r="BO203">
        <v>241841</v>
      </c>
      <c r="BP203">
        <v>0</v>
      </c>
      <c r="BQ203">
        <v>0</v>
      </c>
      <c r="BR203">
        <v>0</v>
      </c>
      <c r="BS203">
        <v>506721062</v>
      </c>
      <c r="BT203">
        <v>98.86</v>
      </c>
      <c r="BU203">
        <v>1.0900000000000001</v>
      </c>
      <c r="BV203">
        <v>0</v>
      </c>
      <c r="BW203">
        <v>0.05</v>
      </c>
      <c r="BX203">
        <v>0</v>
      </c>
      <c r="BY203">
        <v>0</v>
      </c>
      <c r="BZ203">
        <v>0</v>
      </c>
    </row>
    <row r="204" spans="1:78">
      <c r="A204" t="s">
        <v>80</v>
      </c>
      <c r="B204" t="s">
        <v>295</v>
      </c>
      <c r="C204" t="s">
        <v>130</v>
      </c>
      <c r="D204" t="s">
        <v>296</v>
      </c>
      <c r="E204">
        <v>46252</v>
      </c>
      <c r="G204">
        <v>1457591</v>
      </c>
      <c r="H204">
        <v>1156324</v>
      </c>
      <c r="I204">
        <v>37122846</v>
      </c>
      <c r="J204">
        <v>433730</v>
      </c>
      <c r="L204" t="s">
        <v>297</v>
      </c>
      <c r="M204" t="s">
        <v>298</v>
      </c>
      <c r="N204" t="s">
        <v>87</v>
      </c>
      <c r="O204" t="s">
        <v>89</v>
      </c>
      <c r="P204" t="s">
        <v>89</v>
      </c>
      <c r="Q204" t="s">
        <v>112</v>
      </c>
      <c r="R204" t="s">
        <v>290</v>
      </c>
      <c r="T204" t="s">
        <v>291</v>
      </c>
      <c r="U204">
        <v>6</v>
      </c>
      <c r="V204">
        <v>6</v>
      </c>
      <c r="W204" t="str">
        <f>"6"</f>
        <v>6</v>
      </c>
      <c r="X204" t="s">
        <v>190</v>
      </c>
      <c r="AA204" t="s">
        <v>94</v>
      </c>
      <c r="AB204" t="s">
        <v>95</v>
      </c>
      <c r="AC204" t="s">
        <v>96</v>
      </c>
      <c r="AD204" t="s">
        <v>95</v>
      </c>
      <c r="AE204" t="s">
        <v>95</v>
      </c>
      <c r="AF204" t="s">
        <v>95</v>
      </c>
      <c r="AN204" t="s">
        <v>95</v>
      </c>
      <c r="AQ204" t="s">
        <v>232</v>
      </c>
      <c r="AS204">
        <v>5200</v>
      </c>
      <c r="AT204" t="s">
        <v>126</v>
      </c>
      <c r="AU204" t="s">
        <v>190</v>
      </c>
      <c r="AV204">
        <v>7433395</v>
      </c>
      <c r="AW204">
        <v>7433395</v>
      </c>
      <c r="AY204">
        <v>0</v>
      </c>
      <c r="AZ204" s="1">
        <v>46267</v>
      </c>
      <c r="BB204">
        <v>501990</v>
      </c>
      <c r="BC204" t="s">
        <v>99</v>
      </c>
      <c r="BD204" s="1">
        <v>46144</v>
      </c>
      <c r="BE204" s="1">
        <v>46267</v>
      </c>
      <c r="BG204" t="s">
        <v>100</v>
      </c>
      <c r="BH204" t="str">
        <f t="shared" si="10"/>
        <v>720863718</v>
      </c>
      <c r="BI204" t="s">
        <v>101</v>
      </c>
      <c r="BJ204" t="s">
        <v>102</v>
      </c>
      <c r="BK204" t="s">
        <v>102</v>
      </c>
      <c r="BL204">
        <v>449083663</v>
      </c>
      <c r="BM204">
        <v>34251885</v>
      </c>
      <c r="BN204">
        <v>0</v>
      </c>
      <c r="BO204">
        <v>23385514</v>
      </c>
      <c r="BP204">
        <v>0</v>
      </c>
      <c r="BQ204">
        <v>0</v>
      </c>
      <c r="BR204">
        <v>0</v>
      </c>
      <c r="BS204">
        <v>506721062</v>
      </c>
      <c r="BT204">
        <v>88.63</v>
      </c>
      <c r="BU204">
        <v>6.76</v>
      </c>
      <c r="BV204">
        <v>0</v>
      </c>
      <c r="BW204">
        <v>4.62</v>
      </c>
      <c r="BX204">
        <v>0</v>
      </c>
      <c r="BY204">
        <v>0</v>
      </c>
      <c r="BZ204">
        <v>0</v>
      </c>
    </row>
    <row r="205" spans="1:78">
      <c r="A205" t="s">
        <v>80</v>
      </c>
      <c r="B205" t="s">
        <v>295</v>
      </c>
      <c r="C205" t="s">
        <v>130</v>
      </c>
      <c r="D205" t="s">
        <v>296</v>
      </c>
      <c r="E205">
        <v>46252</v>
      </c>
      <c r="G205">
        <v>1457591</v>
      </c>
      <c r="H205">
        <v>1156324</v>
      </c>
      <c r="I205">
        <v>37122846</v>
      </c>
      <c r="J205">
        <v>433730</v>
      </c>
      <c r="L205" t="s">
        <v>297</v>
      </c>
      <c r="M205" t="s">
        <v>298</v>
      </c>
      <c r="N205" t="s">
        <v>87</v>
      </c>
      <c r="O205" t="s">
        <v>89</v>
      </c>
      <c r="P205" t="s">
        <v>89</v>
      </c>
      <c r="Q205" t="s">
        <v>112</v>
      </c>
      <c r="R205" t="s">
        <v>290</v>
      </c>
      <c r="T205" t="s">
        <v>291</v>
      </c>
      <c r="U205">
        <v>7</v>
      </c>
      <c r="V205">
        <v>7</v>
      </c>
      <c r="W205" t="str">
        <f>"7"</f>
        <v>7</v>
      </c>
      <c r="X205" t="s">
        <v>222</v>
      </c>
      <c r="AA205" t="s">
        <v>94</v>
      </c>
      <c r="AB205" t="s">
        <v>95</v>
      </c>
      <c r="AC205" t="s">
        <v>96</v>
      </c>
      <c r="AD205" t="s">
        <v>95</v>
      </c>
      <c r="AE205" t="s">
        <v>95</v>
      </c>
      <c r="AF205" t="s">
        <v>95</v>
      </c>
      <c r="AN205" t="s">
        <v>95</v>
      </c>
      <c r="AQ205" t="s">
        <v>232</v>
      </c>
      <c r="AS205">
        <v>5230</v>
      </c>
      <c r="AT205" t="s">
        <v>126</v>
      </c>
      <c r="AU205" t="s">
        <v>222</v>
      </c>
      <c r="AV205">
        <v>7433395</v>
      </c>
      <c r="AW205">
        <v>7433395</v>
      </c>
      <c r="AY205">
        <v>0</v>
      </c>
      <c r="AZ205" s="1">
        <v>46267</v>
      </c>
      <c r="BB205">
        <v>501990</v>
      </c>
      <c r="BC205" t="s">
        <v>99</v>
      </c>
      <c r="BD205" s="1">
        <v>46144</v>
      </c>
      <c r="BE205" s="1">
        <v>46267</v>
      </c>
      <c r="BG205" t="s">
        <v>100</v>
      </c>
      <c r="BH205" t="str">
        <f t="shared" si="10"/>
        <v>720863718</v>
      </c>
      <c r="BI205" t="s">
        <v>101</v>
      </c>
      <c r="BJ205" t="s">
        <v>102</v>
      </c>
      <c r="BK205" t="s">
        <v>102</v>
      </c>
      <c r="BL205">
        <v>471120068</v>
      </c>
      <c r="BM205">
        <v>34283985</v>
      </c>
      <c r="BN205">
        <v>0</v>
      </c>
      <c r="BO205">
        <v>1317009</v>
      </c>
      <c r="BP205">
        <v>0</v>
      </c>
      <c r="BQ205">
        <v>0</v>
      </c>
      <c r="BR205">
        <v>0</v>
      </c>
      <c r="BS205">
        <v>506721062</v>
      </c>
      <c r="BT205">
        <v>92.97</v>
      </c>
      <c r="BU205">
        <v>6.77</v>
      </c>
      <c r="BV205">
        <v>0</v>
      </c>
      <c r="BW205">
        <v>0.26</v>
      </c>
      <c r="BX205">
        <v>0</v>
      </c>
      <c r="BY205">
        <v>0</v>
      </c>
      <c r="BZ205">
        <v>0</v>
      </c>
    </row>
    <row r="206" spans="1:78">
      <c r="A206" t="s">
        <v>80</v>
      </c>
      <c r="B206" t="s">
        <v>295</v>
      </c>
      <c r="C206" t="s">
        <v>130</v>
      </c>
      <c r="D206" t="s">
        <v>296</v>
      </c>
      <c r="E206">
        <v>46252</v>
      </c>
      <c r="G206">
        <v>1457591</v>
      </c>
      <c r="H206">
        <v>1156324</v>
      </c>
      <c r="I206">
        <v>37122846</v>
      </c>
      <c r="J206">
        <v>433730</v>
      </c>
      <c r="L206" t="s">
        <v>297</v>
      </c>
      <c r="M206" t="s">
        <v>298</v>
      </c>
      <c r="N206" t="s">
        <v>87</v>
      </c>
      <c r="O206" t="s">
        <v>89</v>
      </c>
      <c r="P206" t="s">
        <v>89</v>
      </c>
      <c r="Q206" t="s">
        <v>112</v>
      </c>
      <c r="R206" t="s">
        <v>290</v>
      </c>
      <c r="T206" t="s">
        <v>291</v>
      </c>
      <c r="U206">
        <v>8</v>
      </c>
      <c r="V206">
        <v>8</v>
      </c>
      <c r="W206" t="str">
        <f>"8"</f>
        <v>8</v>
      </c>
      <c r="X206" t="s">
        <v>204</v>
      </c>
      <c r="AA206" t="s">
        <v>94</v>
      </c>
      <c r="AB206" t="s">
        <v>95</v>
      </c>
      <c r="AC206" t="s">
        <v>96</v>
      </c>
      <c r="AD206" t="s">
        <v>95</v>
      </c>
      <c r="AE206" t="s">
        <v>95</v>
      </c>
      <c r="AF206" t="s">
        <v>95</v>
      </c>
      <c r="AN206" t="s">
        <v>95</v>
      </c>
      <c r="AQ206" t="s">
        <v>232</v>
      </c>
      <c r="AS206">
        <v>5838</v>
      </c>
      <c r="AT206" t="s">
        <v>198</v>
      </c>
      <c r="AU206" t="s">
        <v>204</v>
      </c>
      <c r="AV206">
        <v>7433395</v>
      </c>
      <c r="AW206">
        <v>7433395</v>
      </c>
      <c r="AY206">
        <v>0</v>
      </c>
      <c r="AZ206" s="1">
        <v>46267</v>
      </c>
      <c r="BB206">
        <v>501990</v>
      </c>
      <c r="BC206" t="s">
        <v>99</v>
      </c>
      <c r="BD206" s="1">
        <v>46144</v>
      </c>
      <c r="BE206" s="1">
        <v>46267</v>
      </c>
      <c r="BG206" t="s">
        <v>100</v>
      </c>
      <c r="BH206" t="str">
        <f t="shared" si="10"/>
        <v>720863718</v>
      </c>
      <c r="BI206" t="s">
        <v>101</v>
      </c>
      <c r="BJ206" t="s">
        <v>102</v>
      </c>
      <c r="BK206" t="s">
        <v>102</v>
      </c>
      <c r="BL206">
        <v>504534906</v>
      </c>
      <c r="BM206">
        <v>2032512</v>
      </c>
      <c r="BN206">
        <v>0</v>
      </c>
      <c r="BO206">
        <v>153644</v>
      </c>
      <c r="BP206">
        <v>0</v>
      </c>
      <c r="BQ206">
        <v>0</v>
      </c>
      <c r="BR206">
        <v>0</v>
      </c>
      <c r="BS206">
        <v>506721062</v>
      </c>
      <c r="BT206">
        <v>99.57</v>
      </c>
      <c r="BU206">
        <v>0.4</v>
      </c>
      <c r="BV206">
        <v>0</v>
      </c>
      <c r="BW206">
        <v>0.03</v>
      </c>
      <c r="BX206">
        <v>0</v>
      </c>
      <c r="BY206">
        <v>0</v>
      </c>
      <c r="BZ206">
        <v>0</v>
      </c>
    </row>
    <row r="207" spans="1:78">
      <c r="A207" t="s">
        <v>80</v>
      </c>
      <c r="B207" t="s">
        <v>295</v>
      </c>
      <c r="C207" t="s">
        <v>130</v>
      </c>
      <c r="D207" t="s">
        <v>296</v>
      </c>
      <c r="E207">
        <v>46252</v>
      </c>
      <c r="G207">
        <v>1457591</v>
      </c>
      <c r="H207">
        <v>1156324</v>
      </c>
      <c r="I207">
        <v>37122846</v>
      </c>
      <c r="J207">
        <v>433730</v>
      </c>
      <c r="L207" t="s">
        <v>297</v>
      </c>
      <c r="M207" t="s">
        <v>298</v>
      </c>
      <c r="N207" t="s">
        <v>87</v>
      </c>
      <c r="O207" t="s">
        <v>89</v>
      </c>
      <c r="P207" t="s">
        <v>89</v>
      </c>
      <c r="Q207" t="s">
        <v>112</v>
      </c>
      <c r="R207" t="s">
        <v>290</v>
      </c>
      <c r="T207" t="s">
        <v>291</v>
      </c>
      <c r="U207">
        <v>9</v>
      </c>
      <c r="V207">
        <v>9</v>
      </c>
      <c r="W207" t="str">
        <f>"9"</f>
        <v>9</v>
      </c>
      <c r="X207" t="s">
        <v>302</v>
      </c>
      <c r="AA207" t="s">
        <v>94</v>
      </c>
      <c r="AB207" t="s">
        <v>95</v>
      </c>
      <c r="AC207" t="s">
        <v>96</v>
      </c>
      <c r="AD207" t="s">
        <v>95</v>
      </c>
      <c r="AE207" t="s">
        <v>95</v>
      </c>
      <c r="AF207" t="s">
        <v>95</v>
      </c>
      <c r="AN207" t="s">
        <v>95</v>
      </c>
      <c r="AQ207" t="s">
        <v>232</v>
      </c>
      <c r="AS207">
        <v>5839</v>
      </c>
      <c r="AT207" t="s">
        <v>198</v>
      </c>
      <c r="AU207" t="s">
        <v>303</v>
      </c>
      <c r="AV207">
        <v>7433395</v>
      </c>
      <c r="AW207">
        <v>7433395</v>
      </c>
      <c r="AY207">
        <v>0</v>
      </c>
      <c r="AZ207" s="1">
        <v>46267</v>
      </c>
      <c r="BB207">
        <v>501990</v>
      </c>
      <c r="BC207" t="s">
        <v>99</v>
      </c>
      <c r="BD207" s="1">
        <v>46144</v>
      </c>
      <c r="BE207" s="1">
        <v>46267</v>
      </c>
      <c r="BG207" t="s">
        <v>100</v>
      </c>
      <c r="BH207" t="str">
        <f t="shared" si="10"/>
        <v>720863718</v>
      </c>
      <c r="BI207" t="s">
        <v>101</v>
      </c>
      <c r="BJ207" t="s">
        <v>102</v>
      </c>
      <c r="BK207" t="s">
        <v>102</v>
      </c>
      <c r="BL207">
        <v>498357072</v>
      </c>
      <c r="BM207">
        <v>8330408</v>
      </c>
      <c r="BN207">
        <v>0</v>
      </c>
      <c r="BO207">
        <v>33582</v>
      </c>
      <c r="BP207">
        <v>0</v>
      </c>
      <c r="BQ207">
        <v>0</v>
      </c>
      <c r="BR207">
        <v>0</v>
      </c>
      <c r="BS207">
        <v>506721062</v>
      </c>
      <c r="BT207">
        <v>98.35</v>
      </c>
      <c r="BU207">
        <v>1.64</v>
      </c>
      <c r="BV207">
        <v>0</v>
      </c>
      <c r="BW207">
        <v>0.01</v>
      </c>
      <c r="BX207">
        <v>0</v>
      </c>
      <c r="BY207">
        <v>0</v>
      </c>
      <c r="BZ207">
        <v>0</v>
      </c>
    </row>
    <row r="208" spans="1:78">
      <c r="A208" t="s">
        <v>80</v>
      </c>
      <c r="B208" t="s">
        <v>295</v>
      </c>
      <c r="C208" t="s">
        <v>130</v>
      </c>
      <c r="D208" t="s">
        <v>296</v>
      </c>
      <c r="E208">
        <v>46252</v>
      </c>
      <c r="G208">
        <v>1457591</v>
      </c>
      <c r="H208">
        <v>1156324</v>
      </c>
      <c r="I208">
        <v>37122846</v>
      </c>
      <c r="J208">
        <v>433730</v>
      </c>
      <c r="L208" t="s">
        <v>297</v>
      </c>
      <c r="M208" t="s">
        <v>298</v>
      </c>
      <c r="N208" t="s">
        <v>87</v>
      </c>
      <c r="O208" t="s">
        <v>89</v>
      </c>
      <c r="P208" t="s">
        <v>89</v>
      </c>
      <c r="Q208" t="s">
        <v>112</v>
      </c>
      <c r="R208" t="s">
        <v>290</v>
      </c>
      <c r="T208" t="s">
        <v>291</v>
      </c>
      <c r="U208">
        <v>10</v>
      </c>
      <c r="V208">
        <v>10</v>
      </c>
      <c r="W208" t="str">
        <f>"10"</f>
        <v>10</v>
      </c>
      <c r="X208" t="s">
        <v>304</v>
      </c>
      <c r="AA208" t="s">
        <v>94</v>
      </c>
      <c r="AB208" t="s">
        <v>95</v>
      </c>
      <c r="AC208" t="s">
        <v>96</v>
      </c>
      <c r="AD208" t="s">
        <v>95</v>
      </c>
      <c r="AE208" t="s">
        <v>95</v>
      </c>
      <c r="AF208" t="s">
        <v>95</v>
      </c>
      <c r="AN208" t="s">
        <v>95</v>
      </c>
      <c r="AQ208" t="s">
        <v>232</v>
      </c>
      <c r="AS208">
        <v>6188</v>
      </c>
      <c r="AT208" t="s">
        <v>98</v>
      </c>
      <c r="AU208" t="s">
        <v>304</v>
      </c>
      <c r="AV208">
        <v>7433395</v>
      </c>
      <c r="AW208">
        <v>7433395</v>
      </c>
      <c r="AY208">
        <v>0</v>
      </c>
      <c r="AZ208" s="1">
        <v>46267</v>
      </c>
      <c r="BB208">
        <v>501990</v>
      </c>
      <c r="BC208" t="s">
        <v>99</v>
      </c>
      <c r="BD208" s="1">
        <v>46144</v>
      </c>
      <c r="BE208" s="1">
        <v>46267</v>
      </c>
      <c r="BG208" t="s">
        <v>100</v>
      </c>
      <c r="BH208" t="str">
        <f t="shared" si="10"/>
        <v>720863718</v>
      </c>
      <c r="BI208" t="s">
        <v>101</v>
      </c>
      <c r="BJ208" t="s">
        <v>102</v>
      </c>
      <c r="BK208" t="s">
        <v>102</v>
      </c>
      <c r="BL208">
        <v>494476539</v>
      </c>
      <c r="BM208">
        <v>10981372</v>
      </c>
      <c r="BN208">
        <v>0</v>
      </c>
      <c r="BO208">
        <v>1263151</v>
      </c>
      <c r="BP208">
        <v>0</v>
      </c>
      <c r="BQ208">
        <v>0</v>
      </c>
      <c r="BR208">
        <v>0</v>
      </c>
      <c r="BS208">
        <v>506721062</v>
      </c>
      <c r="BT208">
        <v>97.58</v>
      </c>
      <c r="BU208">
        <v>2.17</v>
      </c>
      <c r="BV208">
        <v>0</v>
      </c>
      <c r="BW208">
        <v>0.25</v>
      </c>
      <c r="BX208">
        <v>0</v>
      </c>
      <c r="BY208">
        <v>0</v>
      </c>
      <c r="BZ208">
        <v>0</v>
      </c>
    </row>
    <row r="209" spans="1:78">
      <c r="A209" t="s">
        <v>103</v>
      </c>
      <c r="B209" t="s">
        <v>305</v>
      </c>
      <c r="C209" t="s">
        <v>262</v>
      </c>
      <c r="D209" t="s">
        <v>306</v>
      </c>
      <c r="E209">
        <v>459</v>
      </c>
      <c r="F209" t="s">
        <v>307</v>
      </c>
      <c r="G209">
        <v>1443223</v>
      </c>
      <c r="H209">
        <v>1154111</v>
      </c>
      <c r="I209">
        <v>37062263</v>
      </c>
      <c r="J209" t="s">
        <v>308</v>
      </c>
      <c r="K209" t="str">
        <f t="shared" ref="K209:K226" si="11">"G51502105"</f>
        <v>G51502105</v>
      </c>
      <c r="L209">
        <v>902124106</v>
      </c>
      <c r="M209" t="s">
        <v>309</v>
      </c>
      <c r="N209" t="s">
        <v>87</v>
      </c>
      <c r="O209" t="s">
        <v>310</v>
      </c>
      <c r="P209" t="s">
        <v>111</v>
      </c>
      <c r="Q209" t="s">
        <v>112</v>
      </c>
      <c r="R209" s="1">
        <v>46115</v>
      </c>
      <c r="S209" s="1">
        <v>46143</v>
      </c>
      <c r="T209" s="1">
        <v>46084</v>
      </c>
      <c r="U209">
        <v>1</v>
      </c>
      <c r="V209">
        <v>1</v>
      </c>
      <c r="W209" t="str">
        <f>"1a."</f>
        <v>1a.</v>
      </c>
      <c r="X209" t="s">
        <v>311</v>
      </c>
      <c r="Y209">
        <v>3528182</v>
      </c>
      <c r="Z209">
        <v>500106</v>
      </c>
      <c r="AA209" t="s">
        <v>94</v>
      </c>
      <c r="AB209" t="s">
        <v>95</v>
      </c>
      <c r="AC209" t="s">
        <v>96</v>
      </c>
      <c r="AD209" t="s">
        <v>95</v>
      </c>
      <c r="AE209" t="s">
        <v>95</v>
      </c>
      <c r="AF209" t="s">
        <v>95</v>
      </c>
      <c r="AN209" t="s">
        <v>95</v>
      </c>
      <c r="AQ209" t="s">
        <v>232</v>
      </c>
      <c r="AS209">
        <v>100</v>
      </c>
      <c r="AT209" t="s">
        <v>117</v>
      </c>
      <c r="AU209" t="s">
        <v>118</v>
      </c>
      <c r="AV209">
        <v>10379</v>
      </c>
      <c r="AW209">
        <v>10379</v>
      </c>
      <c r="AY209">
        <v>0</v>
      </c>
      <c r="AZ209" s="1">
        <v>46297</v>
      </c>
      <c r="BB209">
        <v>492092</v>
      </c>
      <c r="BC209" t="s">
        <v>99</v>
      </c>
      <c r="BD209" s="1">
        <v>46055</v>
      </c>
      <c r="BE209" s="1">
        <v>46297</v>
      </c>
      <c r="BG209" t="s">
        <v>100</v>
      </c>
      <c r="BH209" t="str">
        <f t="shared" ref="BH209:BH226" si="12">"936385548"</f>
        <v>936385548</v>
      </c>
      <c r="BI209" t="s">
        <v>101</v>
      </c>
      <c r="BJ209" t="s">
        <v>102</v>
      </c>
      <c r="BK209" t="s">
        <v>102</v>
      </c>
      <c r="BL209">
        <v>511771966</v>
      </c>
      <c r="BM209">
        <v>7744739</v>
      </c>
      <c r="BN209">
        <v>435790</v>
      </c>
      <c r="BO209">
        <v>0</v>
      </c>
      <c r="BP209">
        <v>0</v>
      </c>
      <c r="BQ209">
        <v>0</v>
      </c>
      <c r="BR209">
        <v>0</v>
      </c>
      <c r="BS209">
        <v>519952495</v>
      </c>
      <c r="BT209">
        <v>98.43</v>
      </c>
      <c r="BU209">
        <v>1.49</v>
      </c>
      <c r="BV209">
        <v>0.08</v>
      </c>
      <c r="BW209">
        <v>0</v>
      </c>
      <c r="BX209">
        <v>0</v>
      </c>
      <c r="BY209">
        <v>0</v>
      </c>
      <c r="BZ209">
        <v>0</v>
      </c>
    </row>
    <row r="210" spans="1:78">
      <c r="A210" t="s">
        <v>103</v>
      </c>
      <c r="B210" t="s">
        <v>305</v>
      </c>
      <c r="C210" t="s">
        <v>262</v>
      </c>
      <c r="D210" t="s">
        <v>306</v>
      </c>
      <c r="E210">
        <v>459</v>
      </c>
      <c r="F210" t="s">
        <v>307</v>
      </c>
      <c r="G210">
        <v>1443223</v>
      </c>
      <c r="H210">
        <v>1154111</v>
      </c>
      <c r="I210">
        <v>37062263</v>
      </c>
      <c r="J210" t="s">
        <v>308</v>
      </c>
      <c r="K210" t="str">
        <f t="shared" si="11"/>
        <v>G51502105</v>
      </c>
      <c r="L210">
        <v>902124106</v>
      </c>
      <c r="M210" t="s">
        <v>309</v>
      </c>
      <c r="N210" t="s">
        <v>87</v>
      </c>
      <c r="O210" t="s">
        <v>310</v>
      </c>
      <c r="P210" t="s">
        <v>111</v>
      </c>
      <c r="Q210" t="s">
        <v>112</v>
      </c>
      <c r="R210" s="1">
        <v>46115</v>
      </c>
      <c r="S210" s="1">
        <v>46143</v>
      </c>
      <c r="T210" s="1">
        <v>46084</v>
      </c>
      <c r="U210">
        <v>2</v>
      </c>
      <c r="V210">
        <v>2</v>
      </c>
      <c r="W210" t="str">
        <f>"1b."</f>
        <v>1b.</v>
      </c>
      <c r="X210" t="s">
        <v>312</v>
      </c>
      <c r="Y210">
        <v>3528173</v>
      </c>
      <c r="Z210">
        <v>65227</v>
      </c>
      <c r="AA210" t="s">
        <v>94</v>
      </c>
      <c r="AB210" t="s">
        <v>95</v>
      </c>
      <c r="AC210" t="s">
        <v>96</v>
      </c>
      <c r="AD210" t="s">
        <v>95</v>
      </c>
      <c r="AE210" t="s">
        <v>123</v>
      </c>
      <c r="AF210" t="s">
        <v>123</v>
      </c>
      <c r="AN210" t="s">
        <v>123</v>
      </c>
      <c r="AO210" t="str">
        <f>"There is insufficient female representation on the board of directors."</f>
        <v>There is insufficient female representation on the board of directors.</v>
      </c>
      <c r="AP210" t="str">
        <f>"There is insufficient female representation on the board of directors."</f>
        <v>There is insufficient female representation on the board of directors.</v>
      </c>
      <c r="AQ210" t="s">
        <v>232</v>
      </c>
      <c r="AS210">
        <v>100</v>
      </c>
      <c r="AT210" t="s">
        <v>117</v>
      </c>
      <c r="AU210" t="s">
        <v>118</v>
      </c>
      <c r="AV210">
        <v>10379</v>
      </c>
      <c r="AW210">
        <v>10379</v>
      </c>
      <c r="AY210">
        <v>0</v>
      </c>
      <c r="AZ210" s="1">
        <v>46297</v>
      </c>
      <c r="BB210">
        <v>492092</v>
      </c>
      <c r="BC210" t="s">
        <v>99</v>
      </c>
      <c r="BD210" s="1">
        <v>46055</v>
      </c>
      <c r="BE210" s="1">
        <v>46297</v>
      </c>
      <c r="BG210" t="s">
        <v>100</v>
      </c>
      <c r="BH210" t="str">
        <f t="shared" si="12"/>
        <v>936385548</v>
      </c>
      <c r="BI210" t="s">
        <v>101</v>
      </c>
      <c r="BJ210" t="s">
        <v>102</v>
      </c>
      <c r="BK210" t="s">
        <v>123</v>
      </c>
      <c r="BL210">
        <v>487378739</v>
      </c>
      <c r="BM210">
        <v>31802369</v>
      </c>
      <c r="BN210">
        <v>771387</v>
      </c>
      <c r="BO210">
        <v>0</v>
      </c>
      <c r="BP210">
        <v>0</v>
      </c>
      <c r="BQ210">
        <v>0</v>
      </c>
      <c r="BR210">
        <v>0</v>
      </c>
      <c r="BS210">
        <v>519952495</v>
      </c>
      <c r="BT210">
        <v>93.74</v>
      </c>
      <c r="BU210">
        <v>6.12</v>
      </c>
      <c r="BV210">
        <v>0.15</v>
      </c>
      <c r="BW210">
        <v>0</v>
      </c>
      <c r="BX210">
        <v>0</v>
      </c>
      <c r="BY210">
        <v>0</v>
      </c>
      <c r="BZ210">
        <v>0</v>
      </c>
    </row>
    <row r="211" spans="1:78">
      <c r="A211" t="s">
        <v>103</v>
      </c>
      <c r="B211" t="s">
        <v>305</v>
      </c>
      <c r="C211" t="s">
        <v>262</v>
      </c>
      <c r="D211" t="s">
        <v>306</v>
      </c>
      <c r="E211">
        <v>459</v>
      </c>
      <c r="F211" t="s">
        <v>307</v>
      </c>
      <c r="G211">
        <v>1443223</v>
      </c>
      <c r="H211">
        <v>1154111</v>
      </c>
      <c r="I211">
        <v>37062263</v>
      </c>
      <c r="J211" t="s">
        <v>308</v>
      </c>
      <c r="K211" t="str">
        <f t="shared" si="11"/>
        <v>G51502105</v>
      </c>
      <c r="L211">
        <v>902124106</v>
      </c>
      <c r="M211" t="s">
        <v>309</v>
      </c>
      <c r="N211" t="s">
        <v>87</v>
      </c>
      <c r="O211" t="s">
        <v>310</v>
      </c>
      <c r="P211" t="s">
        <v>111</v>
      </c>
      <c r="Q211" t="s">
        <v>112</v>
      </c>
      <c r="R211" s="1">
        <v>46115</v>
      </c>
      <c r="S211" s="1">
        <v>46143</v>
      </c>
      <c r="T211" s="1">
        <v>46084</v>
      </c>
      <c r="U211">
        <v>3</v>
      </c>
      <c r="V211">
        <v>3</v>
      </c>
      <c r="W211" t="str">
        <f>"1c."</f>
        <v>1c.</v>
      </c>
      <c r="X211" t="s">
        <v>313</v>
      </c>
      <c r="Y211">
        <v>3528180</v>
      </c>
      <c r="Z211">
        <v>450540</v>
      </c>
      <c r="AA211" t="s">
        <v>94</v>
      </c>
      <c r="AB211" t="s">
        <v>95</v>
      </c>
      <c r="AC211" t="s">
        <v>96</v>
      </c>
      <c r="AD211" t="s">
        <v>95</v>
      </c>
      <c r="AE211" t="s">
        <v>95</v>
      </c>
      <c r="AF211" t="s">
        <v>95</v>
      </c>
      <c r="AN211" t="s">
        <v>95</v>
      </c>
      <c r="AQ211" t="s">
        <v>232</v>
      </c>
      <c r="AS211">
        <v>100</v>
      </c>
      <c r="AT211" t="s">
        <v>117</v>
      </c>
      <c r="AU211" t="s">
        <v>118</v>
      </c>
      <c r="AV211">
        <v>10379</v>
      </c>
      <c r="AW211">
        <v>10379</v>
      </c>
      <c r="AY211">
        <v>0</v>
      </c>
      <c r="AZ211" s="1">
        <v>46297</v>
      </c>
      <c r="BB211">
        <v>492092</v>
      </c>
      <c r="BC211" t="s">
        <v>99</v>
      </c>
      <c r="BD211" s="1">
        <v>46055</v>
      </c>
      <c r="BE211" s="1">
        <v>46297</v>
      </c>
      <c r="BG211" t="s">
        <v>100</v>
      </c>
      <c r="BH211" t="str">
        <f t="shared" si="12"/>
        <v>936385548</v>
      </c>
      <c r="BI211" t="s">
        <v>101</v>
      </c>
      <c r="BJ211" t="s">
        <v>102</v>
      </c>
      <c r="BK211" t="s">
        <v>102</v>
      </c>
      <c r="BL211">
        <v>514247067</v>
      </c>
      <c r="BM211">
        <v>5083080</v>
      </c>
      <c r="BN211">
        <v>622348</v>
      </c>
      <c r="BO211">
        <v>0</v>
      </c>
      <c r="BP211">
        <v>0</v>
      </c>
      <c r="BQ211">
        <v>0</v>
      </c>
      <c r="BR211">
        <v>0</v>
      </c>
      <c r="BS211">
        <v>519952495</v>
      </c>
      <c r="BT211">
        <v>98.9</v>
      </c>
      <c r="BU211">
        <v>0.98</v>
      </c>
      <c r="BV211">
        <v>0.12</v>
      </c>
      <c r="BW211">
        <v>0</v>
      </c>
      <c r="BX211">
        <v>0</v>
      </c>
      <c r="BY211">
        <v>0</v>
      </c>
      <c r="BZ211">
        <v>0</v>
      </c>
    </row>
    <row r="212" spans="1:78">
      <c r="A212" t="s">
        <v>103</v>
      </c>
      <c r="B212" t="s">
        <v>305</v>
      </c>
      <c r="C212" t="s">
        <v>262</v>
      </c>
      <c r="D212" t="s">
        <v>306</v>
      </c>
      <c r="E212">
        <v>459</v>
      </c>
      <c r="F212" t="s">
        <v>307</v>
      </c>
      <c r="G212">
        <v>1443223</v>
      </c>
      <c r="H212">
        <v>1154111</v>
      </c>
      <c r="I212">
        <v>37062263</v>
      </c>
      <c r="J212" t="s">
        <v>308</v>
      </c>
      <c r="K212" t="str">
        <f t="shared" si="11"/>
        <v>G51502105</v>
      </c>
      <c r="L212">
        <v>902124106</v>
      </c>
      <c r="M212" t="s">
        <v>309</v>
      </c>
      <c r="N212" t="s">
        <v>87</v>
      </c>
      <c r="O212" t="s">
        <v>310</v>
      </c>
      <c r="P212" t="s">
        <v>111</v>
      </c>
      <c r="Q212" t="s">
        <v>112</v>
      </c>
      <c r="R212" s="1">
        <v>46115</v>
      </c>
      <c r="S212" s="1">
        <v>46143</v>
      </c>
      <c r="T212" s="1">
        <v>46084</v>
      </c>
      <c r="U212">
        <v>4</v>
      </c>
      <c r="V212">
        <v>4</v>
      </c>
      <c r="W212" t="str">
        <f>"1d."</f>
        <v>1d.</v>
      </c>
      <c r="X212" t="s">
        <v>314</v>
      </c>
      <c r="Y212">
        <v>3528174</v>
      </c>
      <c r="Z212">
        <v>130761</v>
      </c>
      <c r="AA212" t="s">
        <v>94</v>
      </c>
      <c r="AB212" t="s">
        <v>95</v>
      </c>
      <c r="AC212" t="s">
        <v>96</v>
      </c>
      <c r="AD212" t="s">
        <v>95</v>
      </c>
      <c r="AE212" t="s">
        <v>95</v>
      </c>
      <c r="AF212" t="s">
        <v>95</v>
      </c>
      <c r="AN212" t="s">
        <v>95</v>
      </c>
      <c r="AQ212" t="s">
        <v>232</v>
      </c>
      <c r="AS212">
        <v>100</v>
      </c>
      <c r="AT212" t="s">
        <v>117</v>
      </c>
      <c r="AU212" t="s">
        <v>118</v>
      </c>
      <c r="AV212">
        <v>10379</v>
      </c>
      <c r="AW212">
        <v>10379</v>
      </c>
      <c r="AY212">
        <v>0</v>
      </c>
      <c r="AZ212" s="1">
        <v>46297</v>
      </c>
      <c r="BB212">
        <v>492092</v>
      </c>
      <c r="BC212" t="s">
        <v>99</v>
      </c>
      <c r="BD212" s="1">
        <v>46055</v>
      </c>
      <c r="BE212" s="1">
        <v>46297</v>
      </c>
      <c r="BG212" t="s">
        <v>100</v>
      </c>
      <c r="BH212" t="str">
        <f t="shared" si="12"/>
        <v>936385548</v>
      </c>
      <c r="BI212" t="s">
        <v>101</v>
      </c>
      <c r="BJ212" t="s">
        <v>102</v>
      </c>
      <c r="BK212" t="s">
        <v>102</v>
      </c>
      <c r="BL212">
        <v>497487012</v>
      </c>
      <c r="BM212">
        <v>21538850</v>
      </c>
      <c r="BN212">
        <v>926633</v>
      </c>
      <c r="BO212">
        <v>0</v>
      </c>
      <c r="BP212">
        <v>0</v>
      </c>
      <c r="BQ212">
        <v>0</v>
      </c>
      <c r="BR212">
        <v>0</v>
      </c>
      <c r="BS212">
        <v>519952495</v>
      </c>
      <c r="BT212">
        <v>95.68</v>
      </c>
      <c r="BU212">
        <v>4.1399999999999997</v>
      </c>
      <c r="BV212">
        <v>0.18</v>
      </c>
      <c r="BW212">
        <v>0</v>
      </c>
      <c r="BX212">
        <v>0</v>
      </c>
      <c r="BY212">
        <v>0</v>
      </c>
      <c r="BZ212">
        <v>0</v>
      </c>
    </row>
    <row r="213" spans="1:78">
      <c r="A213" t="s">
        <v>103</v>
      </c>
      <c r="B213" t="s">
        <v>305</v>
      </c>
      <c r="C213" t="s">
        <v>262</v>
      </c>
      <c r="D213" t="s">
        <v>306</v>
      </c>
      <c r="E213">
        <v>459</v>
      </c>
      <c r="F213" t="s">
        <v>307</v>
      </c>
      <c r="G213">
        <v>1443223</v>
      </c>
      <c r="H213">
        <v>1154111</v>
      </c>
      <c r="I213">
        <v>37062263</v>
      </c>
      <c r="J213" t="s">
        <v>308</v>
      </c>
      <c r="K213" t="str">
        <f t="shared" si="11"/>
        <v>G51502105</v>
      </c>
      <c r="L213">
        <v>902124106</v>
      </c>
      <c r="M213" t="s">
        <v>309</v>
      </c>
      <c r="N213" t="s">
        <v>87</v>
      </c>
      <c r="O213" t="s">
        <v>310</v>
      </c>
      <c r="P213" t="s">
        <v>111</v>
      </c>
      <c r="Q213" t="s">
        <v>112</v>
      </c>
      <c r="R213" s="1">
        <v>46115</v>
      </c>
      <c r="S213" s="1">
        <v>46143</v>
      </c>
      <c r="T213" s="1">
        <v>46084</v>
      </c>
      <c r="U213">
        <v>5</v>
      </c>
      <c r="V213">
        <v>5</v>
      </c>
      <c r="W213" t="str">
        <f>"1e."</f>
        <v>1e.</v>
      </c>
      <c r="X213" t="s">
        <v>315</v>
      </c>
      <c r="Y213">
        <v>3528175</v>
      </c>
      <c r="Z213">
        <v>291192</v>
      </c>
      <c r="AA213" t="s">
        <v>94</v>
      </c>
      <c r="AB213" t="s">
        <v>95</v>
      </c>
      <c r="AC213" t="s">
        <v>96</v>
      </c>
      <c r="AD213" t="s">
        <v>95</v>
      </c>
      <c r="AE213" t="s">
        <v>95</v>
      </c>
      <c r="AF213" t="s">
        <v>95</v>
      </c>
      <c r="AN213" t="s">
        <v>95</v>
      </c>
      <c r="AO213" t="str">
        <f>"The auditor's tenure is excessive."</f>
        <v>The auditor's tenure is excessive.</v>
      </c>
      <c r="AQ213" t="s">
        <v>232</v>
      </c>
      <c r="AS213">
        <v>100</v>
      </c>
      <c r="AT213" t="s">
        <v>117</v>
      </c>
      <c r="AU213" t="s">
        <v>118</v>
      </c>
      <c r="AV213">
        <v>10379</v>
      </c>
      <c r="AW213">
        <v>10379</v>
      </c>
      <c r="AY213">
        <v>0</v>
      </c>
      <c r="AZ213" s="1">
        <v>46297</v>
      </c>
      <c r="BB213">
        <v>492092</v>
      </c>
      <c r="BC213" t="s">
        <v>99</v>
      </c>
      <c r="BD213" s="1">
        <v>46055</v>
      </c>
      <c r="BE213" s="1">
        <v>46297</v>
      </c>
      <c r="BG213" t="s">
        <v>100</v>
      </c>
      <c r="BH213" t="str">
        <f t="shared" si="12"/>
        <v>936385548</v>
      </c>
      <c r="BI213" t="s">
        <v>101</v>
      </c>
      <c r="BJ213" t="s">
        <v>102</v>
      </c>
      <c r="BK213" t="s">
        <v>102</v>
      </c>
      <c r="BL213">
        <v>516168024</v>
      </c>
      <c r="BM213">
        <v>3358128</v>
      </c>
      <c r="BN213">
        <v>426343</v>
      </c>
      <c r="BO213">
        <v>0</v>
      </c>
      <c r="BP213">
        <v>0</v>
      </c>
      <c r="BQ213">
        <v>0</v>
      </c>
      <c r="BR213">
        <v>0</v>
      </c>
      <c r="BS213">
        <v>519952495</v>
      </c>
      <c r="BT213">
        <v>99.27</v>
      </c>
      <c r="BU213">
        <v>0.65</v>
      </c>
      <c r="BV213">
        <v>0.08</v>
      </c>
      <c r="BW213">
        <v>0</v>
      </c>
      <c r="BX213">
        <v>0</v>
      </c>
      <c r="BY213">
        <v>0</v>
      </c>
      <c r="BZ213">
        <v>0</v>
      </c>
    </row>
    <row r="214" spans="1:78">
      <c r="A214" t="s">
        <v>103</v>
      </c>
      <c r="B214" t="s">
        <v>305</v>
      </c>
      <c r="C214" t="s">
        <v>262</v>
      </c>
      <c r="D214" t="s">
        <v>306</v>
      </c>
      <c r="E214">
        <v>459</v>
      </c>
      <c r="F214" t="s">
        <v>307</v>
      </c>
      <c r="G214">
        <v>1443223</v>
      </c>
      <c r="H214">
        <v>1154111</v>
      </c>
      <c r="I214">
        <v>37062263</v>
      </c>
      <c r="J214" t="s">
        <v>308</v>
      </c>
      <c r="K214" t="str">
        <f t="shared" si="11"/>
        <v>G51502105</v>
      </c>
      <c r="L214">
        <v>902124106</v>
      </c>
      <c r="M214" t="s">
        <v>309</v>
      </c>
      <c r="N214" t="s">
        <v>87</v>
      </c>
      <c r="O214" t="s">
        <v>310</v>
      </c>
      <c r="P214" t="s">
        <v>111</v>
      </c>
      <c r="Q214" t="s">
        <v>112</v>
      </c>
      <c r="R214" s="1">
        <v>46115</v>
      </c>
      <c r="S214" s="1">
        <v>46143</v>
      </c>
      <c r="T214" s="1">
        <v>46084</v>
      </c>
      <c r="U214">
        <v>6</v>
      </c>
      <c r="V214">
        <v>6</v>
      </c>
      <c r="W214" t="str">
        <f>"1f."</f>
        <v>1f.</v>
      </c>
      <c r="X214" t="s">
        <v>316</v>
      </c>
      <c r="Y214">
        <v>3528184</v>
      </c>
      <c r="Z214">
        <v>576849</v>
      </c>
      <c r="AA214" t="s">
        <v>94</v>
      </c>
      <c r="AB214" t="s">
        <v>95</v>
      </c>
      <c r="AC214" t="s">
        <v>96</v>
      </c>
      <c r="AD214" t="s">
        <v>95</v>
      </c>
      <c r="AE214" t="s">
        <v>95</v>
      </c>
      <c r="AF214" t="s">
        <v>95</v>
      </c>
      <c r="AN214" t="s">
        <v>95</v>
      </c>
      <c r="AQ214" t="s">
        <v>232</v>
      </c>
      <c r="AS214">
        <v>100</v>
      </c>
      <c r="AT214" t="s">
        <v>117</v>
      </c>
      <c r="AU214" t="s">
        <v>118</v>
      </c>
      <c r="AV214">
        <v>10379</v>
      </c>
      <c r="AW214">
        <v>10379</v>
      </c>
      <c r="AY214">
        <v>0</v>
      </c>
      <c r="AZ214" s="1">
        <v>46297</v>
      </c>
      <c r="BB214">
        <v>492092</v>
      </c>
      <c r="BC214" t="s">
        <v>99</v>
      </c>
      <c r="BD214" s="1">
        <v>46055</v>
      </c>
      <c r="BE214" s="1">
        <v>46297</v>
      </c>
      <c r="BG214" t="s">
        <v>100</v>
      </c>
      <c r="BH214" t="str">
        <f t="shared" si="12"/>
        <v>936385548</v>
      </c>
      <c r="BI214" t="s">
        <v>101</v>
      </c>
      <c r="BJ214" t="s">
        <v>102</v>
      </c>
      <c r="BK214" t="s">
        <v>102</v>
      </c>
      <c r="BL214">
        <v>512494505</v>
      </c>
      <c r="BM214">
        <v>6558417</v>
      </c>
      <c r="BN214">
        <v>899573</v>
      </c>
      <c r="BO214">
        <v>0</v>
      </c>
      <c r="BP214">
        <v>0</v>
      </c>
      <c r="BQ214">
        <v>0</v>
      </c>
      <c r="BR214">
        <v>0</v>
      </c>
      <c r="BS214">
        <v>519952495</v>
      </c>
      <c r="BT214">
        <v>98.57</v>
      </c>
      <c r="BU214">
        <v>1.26</v>
      </c>
      <c r="BV214">
        <v>0.17</v>
      </c>
      <c r="BW214">
        <v>0</v>
      </c>
      <c r="BX214">
        <v>0</v>
      </c>
      <c r="BY214">
        <v>0</v>
      </c>
      <c r="BZ214">
        <v>0</v>
      </c>
    </row>
    <row r="215" spans="1:78">
      <c r="A215" t="s">
        <v>103</v>
      </c>
      <c r="B215" t="s">
        <v>305</v>
      </c>
      <c r="C215" t="s">
        <v>262</v>
      </c>
      <c r="D215" t="s">
        <v>306</v>
      </c>
      <c r="E215">
        <v>459</v>
      </c>
      <c r="F215" t="s">
        <v>307</v>
      </c>
      <c r="G215">
        <v>1443223</v>
      </c>
      <c r="H215">
        <v>1154111</v>
      </c>
      <c r="I215">
        <v>37062263</v>
      </c>
      <c r="J215" t="s">
        <v>308</v>
      </c>
      <c r="K215" t="str">
        <f t="shared" si="11"/>
        <v>G51502105</v>
      </c>
      <c r="L215">
        <v>902124106</v>
      </c>
      <c r="M215" t="s">
        <v>309</v>
      </c>
      <c r="N215" t="s">
        <v>87</v>
      </c>
      <c r="O215" t="s">
        <v>310</v>
      </c>
      <c r="P215" t="s">
        <v>111</v>
      </c>
      <c r="Q215" t="s">
        <v>112</v>
      </c>
      <c r="R215" s="1">
        <v>46115</v>
      </c>
      <c r="S215" s="1">
        <v>46143</v>
      </c>
      <c r="T215" s="1">
        <v>46084</v>
      </c>
      <c r="U215">
        <v>7</v>
      </c>
      <c r="V215">
        <v>7</v>
      </c>
      <c r="W215" t="str">
        <f>"1g."</f>
        <v>1g.</v>
      </c>
      <c r="X215" t="s">
        <v>317</v>
      </c>
      <c r="Y215">
        <v>3528183</v>
      </c>
      <c r="Z215">
        <v>535169</v>
      </c>
      <c r="AA215" t="s">
        <v>94</v>
      </c>
      <c r="AB215" t="s">
        <v>95</v>
      </c>
      <c r="AC215" t="s">
        <v>96</v>
      </c>
      <c r="AD215" t="s">
        <v>95</v>
      </c>
      <c r="AE215" t="s">
        <v>95</v>
      </c>
      <c r="AF215" t="s">
        <v>95</v>
      </c>
      <c r="AN215" t="s">
        <v>95</v>
      </c>
      <c r="AQ215" t="s">
        <v>232</v>
      </c>
      <c r="AS215">
        <v>100</v>
      </c>
      <c r="AT215" t="s">
        <v>117</v>
      </c>
      <c r="AU215" t="s">
        <v>118</v>
      </c>
      <c r="AV215">
        <v>10379</v>
      </c>
      <c r="AW215">
        <v>10379</v>
      </c>
      <c r="AY215">
        <v>0</v>
      </c>
      <c r="AZ215" s="1">
        <v>46297</v>
      </c>
      <c r="BB215">
        <v>492092</v>
      </c>
      <c r="BC215" t="s">
        <v>99</v>
      </c>
      <c r="BD215" s="1">
        <v>46055</v>
      </c>
      <c r="BE215" s="1">
        <v>46297</v>
      </c>
      <c r="BG215" t="s">
        <v>100</v>
      </c>
      <c r="BH215" t="str">
        <f t="shared" si="12"/>
        <v>936385548</v>
      </c>
      <c r="BI215" t="s">
        <v>101</v>
      </c>
      <c r="BJ215" t="s">
        <v>102</v>
      </c>
      <c r="BK215" t="s">
        <v>102</v>
      </c>
      <c r="BL215">
        <v>514056271</v>
      </c>
      <c r="BM215">
        <v>5275674</v>
      </c>
      <c r="BN215">
        <v>620550</v>
      </c>
      <c r="BO215">
        <v>0</v>
      </c>
      <c r="BP215">
        <v>0</v>
      </c>
      <c r="BQ215">
        <v>0</v>
      </c>
      <c r="BR215">
        <v>0</v>
      </c>
      <c r="BS215">
        <v>519952495</v>
      </c>
      <c r="BT215">
        <v>98.87</v>
      </c>
      <c r="BU215">
        <v>1.01</v>
      </c>
      <c r="BV215">
        <v>0.12</v>
      </c>
      <c r="BW215">
        <v>0</v>
      </c>
      <c r="BX215">
        <v>0</v>
      </c>
      <c r="BY215">
        <v>0</v>
      </c>
      <c r="BZ215">
        <v>0</v>
      </c>
    </row>
    <row r="216" spans="1:78">
      <c r="A216" t="s">
        <v>103</v>
      </c>
      <c r="B216" t="s">
        <v>305</v>
      </c>
      <c r="C216" t="s">
        <v>262</v>
      </c>
      <c r="D216" t="s">
        <v>306</v>
      </c>
      <c r="E216">
        <v>459</v>
      </c>
      <c r="F216" t="s">
        <v>307</v>
      </c>
      <c r="G216">
        <v>1443223</v>
      </c>
      <c r="H216">
        <v>1154111</v>
      </c>
      <c r="I216">
        <v>37062263</v>
      </c>
      <c r="J216" t="s">
        <v>308</v>
      </c>
      <c r="K216" t="str">
        <f t="shared" si="11"/>
        <v>G51502105</v>
      </c>
      <c r="L216">
        <v>902124106</v>
      </c>
      <c r="M216" t="s">
        <v>309</v>
      </c>
      <c r="N216" t="s">
        <v>87</v>
      </c>
      <c r="O216" t="s">
        <v>310</v>
      </c>
      <c r="P216" t="s">
        <v>111</v>
      </c>
      <c r="Q216" t="s">
        <v>112</v>
      </c>
      <c r="R216" s="1">
        <v>46115</v>
      </c>
      <c r="S216" s="1">
        <v>46143</v>
      </c>
      <c r="T216" s="1">
        <v>46084</v>
      </c>
      <c r="U216">
        <v>8</v>
      </c>
      <c r="V216">
        <v>8</v>
      </c>
      <c r="W216" t="str">
        <f>"1h."</f>
        <v>1h.</v>
      </c>
      <c r="X216" t="s">
        <v>318</v>
      </c>
      <c r="Y216">
        <v>3528178</v>
      </c>
      <c r="Z216">
        <v>354294</v>
      </c>
      <c r="AA216" t="s">
        <v>94</v>
      </c>
      <c r="AB216" t="s">
        <v>95</v>
      </c>
      <c r="AC216" t="s">
        <v>96</v>
      </c>
      <c r="AD216" t="s">
        <v>95</v>
      </c>
      <c r="AE216" t="s">
        <v>95</v>
      </c>
      <c r="AF216" t="s">
        <v>95</v>
      </c>
      <c r="AN216" t="s">
        <v>95</v>
      </c>
      <c r="AQ216" t="s">
        <v>232</v>
      </c>
      <c r="AS216">
        <v>100</v>
      </c>
      <c r="AT216" t="s">
        <v>117</v>
      </c>
      <c r="AU216" t="s">
        <v>118</v>
      </c>
      <c r="AV216">
        <v>10379</v>
      </c>
      <c r="AW216">
        <v>10379</v>
      </c>
      <c r="AY216">
        <v>0</v>
      </c>
      <c r="AZ216" s="1">
        <v>46297</v>
      </c>
      <c r="BB216">
        <v>492092</v>
      </c>
      <c r="BC216" t="s">
        <v>99</v>
      </c>
      <c r="BD216" s="1">
        <v>46055</v>
      </c>
      <c r="BE216" s="1">
        <v>46297</v>
      </c>
      <c r="BG216" t="s">
        <v>100</v>
      </c>
      <c r="BH216" t="str">
        <f t="shared" si="12"/>
        <v>936385548</v>
      </c>
      <c r="BI216" t="s">
        <v>101</v>
      </c>
      <c r="BJ216" t="s">
        <v>102</v>
      </c>
      <c r="BK216" t="s">
        <v>102</v>
      </c>
      <c r="BL216">
        <v>497568719</v>
      </c>
      <c r="BM216">
        <v>21560064</v>
      </c>
      <c r="BN216">
        <v>823712</v>
      </c>
      <c r="BO216">
        <v>0</v>
      </c>
      <c r="BP216">
        <v>0</v>
      </c>
      <c r="BQ216">
        <v>0</v>
      </c>
      <c r="BR216">
        <v>0</v>
      </c>
      <c r="BS216">
        <v>519952495</v>
      </c>
      <c r="BT216">
        <v>95.7</v>
      </c>
      <c r="BU216">
        <v>4.1500000000000004</v>
      </c>
      <c r="BV216">
        <v>0.16</v>
      </c>
      <c r="BW216">
        <v>0</v>
      </c>
      <c r="BX216">
        <v>0</v>
      </c>
      <c r="BY216">
        <v>0</v>
      </c>
      <c r="BZ216">
        <v>0</v>
      </c>
    </row>
    <row r="217" spans="1:78">
      <c r="A217" t="s">
        <v>103</v>
      </c>
      <c r="B217" t="s">
        <v>305</v>
      </c>
      <c r="C217" t="s">
        <v>262</v>
      </c>
      <c r="D217" t="s">
        <v>306</v>
      </c>
      <c r="E217">
        <v>459</v>
      </c>
      <c r="F217" t="s">
        <v>307</v>
      </c>
      <c r="G217">
        <v>1443223</v>
      </c>
      <c r="H217">
        <v>1154111</v>
      </c>
      <c r="I217">
        <v>37062263</v>
      </c>
      <c r="J217" t="s">
        <v>308</v>
      </c>
      <c r="K217" t="str">
        <f t="shared" si="11"/>
        <v>G51502105</v>
      </c>
      <c r="L217">
        <v>902124106</v>
      </c>
      <c r="M217" t="s">
        <v>309</v>
      </c>
      <c r="N217" t="s">
        <v>87</v>
      </c>
      <c r="O217" t="s">
        <v>310</v>
      </c>
      <c r="P217" t="s">
        <v>111</v>
      </c>
      <c r="Q217" t="s">
        <v>112</v>
      </c>
      <c r="R217" s="1">
        <v>46115</v>
      </c>
      <c r="S217" s="1">
        <v>46143</v>
      </c>
      <c r="T217" s="1">
        <v>46084</v>
      </c>
      <c r="U217">
        <v>9</v>
      </c>
      <c r="V217">
        <v>9</v>
      </c>
      <c r="W217" t="str">
        <f>"1i."</f>
        <v>1i.</v>
      </c>
      <c r="X217" t="s">
        <v>319</v>
      </c>
      <c r="Y217">
        <v>3528176</v>
      </c>
      <c r="Z217">
        <v>310768</v>
      </c>
      <c r="AA217" t="s">
        <v>94</v>
      </c>
      <c r="AB217" t="s">
        <v>95</v>
      </c>
      <c r="AC217" t="s">
        <v>96</v>
      </c>
      <c r="AD217" t="s">
        <v>95</v>
      </c>
      <c r="AE217" t="s">
        <v>95</v>
      </c>
      <c r="AF217" t="s">
        <v>95</v>
      </c>
      <c r="AN217" t="s">
        <v>95</v>
      </c>
      <c r="AQ217" t="s">
        <v>232</v>
      </c>
      <c r="AS217">
        <v>100</v>
      </c>
      <c r="AT217" t="s">
        <v>117</v>
      </c>
      <c r="AU217" t="s">
        <v>118</v>
      </c>
      <c r="AV217">
        <v>10379</v>
      </c>
      <c r="AW217">
        <v>10379</v>
      </c>
      <c r="AY217">
        <v>0</v>
      </c>
      <c r="AZ217" s="1">
        <v>46297</v>
      </c>
      <c r="BB217">
        <v>492092</v>
      </c>
      <c r="BC217" t="s">
        <v>99</v>
      </c>
      <c r="BD217" s="1">
        <v>46055</v>
      </c>
      <c r="BE217" s="1">
        <v>46297</v>
      </c>
      <c r="BG217" t="s">
        <v>100</v>
      </c>
      <c r="BH217" t="str">
        <f t="shared" si="12"/>
        <v>936385548</v>
      </c>
      <c r="BI217" t="s">
        <v>101</v>
      </c>
      <c r="BJ217" t="s">
        <v>102</v>
      </c>
      <c r="BK217" t="s">
        <v>102</v>
      </c>
      <c r="BL217">
        <v>513093824</v>
      </c>
      <c r="BM217">
        <v>6422348</v>
      </c>
      <c r="BN217">
        <v>436323</v>
      </c>
      <c r="BO217">
        <v>0</v>
      </c>
      <c r="BP217">
        <v>0</v>
      </c>
      <c r="BQ217">
        <v>0</v>
      </c>
      <c r="BR217">
        <v>0</v>
      </c>
      <c r="BS217">
        <v>519952495</v>
      </c>
      <c r="BT217">
        <v>98.68</v>
      </c>
      <c r="BU217">
        <v>1.24</v>
      </c>
      <c r="BV217">
        <v>0.08</v>
      </c>
      <c r="BW217">
        <v>0</v>
      </c>
      <c r="BX217">
        <v>0</v>
      </c>
      <c r="BY217">
        <v>0</v>
      </c>
      <c r="BZ217">
        <v>0</v>
      </c>
    </row>
    <row r="218" spans="1:78">
      <c r="A218" t="s">
        <v>103</v>
      </c>
      <c r="B218" t="s">
        <v>305</v>
      </c>
      <c r="C218" t="s">
        <v>262</v>
      </c>
      <c r="D218" t="s">
        <v>306</v>
      </c>
      <c r="E218">
        <v>459</v>
      </c>
      <c r="F218" t="s">
        <v>307</v>
      </c>
      <c r="G218">
        <v>1443223</v>
      </c>
      <c r="H218">
        <v>1154111</v>
      </c>
      <c r="I218">
        <v>37062263</v>
      </c>
      <c r="J218" t="s">
        <v>308</v>
      </c>
      <c r="K218" t="str">
        <f t="shared" si="11"/>
        <v>G51502105</v>
      </c>
      <c r="L218">
        <v>902124106</v>
      </c>
      <c r="M218" t="s">
        <v>309</v>
      </c>
      <c r="N218" t="s">
        <v>87</v>
      </c>
      <c r="O218" t="s">
        <v>310</v>
      </c>
      <c r="P218" t="s">
        <v>111</v>
      </c>
      <c r="Q218" t="s">
        <v>112</v>
      </c>
      <c r="R218" s="1">
        <v>46115</v>
      </c>
      <c r="S218" s="1">
        <v>46143</v>
      </c>
      <c r="T218" s="1">
        <v>46084</v>
      </c>
      <c r="U218">
        <v>10</v>
      </c>
      <c r="V218">
        <v>10</v>
      </c>
      <c r="W218" t="str">
        <f>"1j."</f>
        <v>1j.</v>
      </c>
      <c r="X218" t="s">
        <v>320</v>
      </c>
      <c r="Y218">
        <v>3528194</v>
      </c>
      <c r="Z218">
        <v>509722</v>
      </c>
      <c r="AA218" t="s">
        <v>94</v>
      </c>
      <c r="AB218" t="s">
        <v>95</v>
      </c>
      <c r="AC218" t="s">
        <v>96</v>
      </c>
      <c r="AD218" t="s">
        <v>95</v>
      </c>
      <c r="AE218" t="s">
        <v>95</v>
      </c>
      <c r="AF218" t="s">
        <v>95</v>
      </c>
      <c r="AN218" t="s">
        <v>95</v>
      </c>
      <c r="AQ218" t="s">
        <v>232</v>
      </c>
      <c r="AS218">
        <v>100</v>
      </c>
      <c r="AT218" t="s">
        <v>117</v>
      </c>
      <c r="AU218" t="s">
        <v>118</v>
      </c>
      <c r="AV218">
        <v>10379</v>
      </c>
      <c r="AW218">
        <v>10379</v>
      </c>
      <c r="AY218">
        <v>0</v>
      </c>
      <c r="AZ218" s="1">
        <v>46297</v>
      </c>
      <c r="BB218">
        <v>492092</v>
      </c>
      <c r="BC218" t="s">
        <v>99</v>
      </c>
      <c r="BD218" s="1">
        <v>46055</v>
      </c>
      <c r="BE218" s="1">
        <v>46297</v>
      </c>
      <c r="BG218" t="s">
        <v>100</v>
      </c>
      <c r="BH218" t="str">
        <f t="shared" si="12"/>
        <v>936385548</v>
      </c>
      <c r="BI218" t="s">
        <v>101</v>
      </c>
      <c r="BJ218" t="s">
        <v>102</v>
      </c>
      <c r="BK218" t="s">
        <v>102</v>
      </c>
      <c r="BL218">
        <v>515088698</v>
      </c>
      <c r="BM218">
        <v>4430147</v>
      </c>
      <c r="BN218">
        <v>433650</v>
      </c>
      <c r="BO218">
        <v>0</v>
      </c>
      <c r="BP218">
        <v>0</v>
      </c>
      <c r="BQ218">
        <v>0</v>
      </c>
      <c r="BR218">
        <v>0</v>
      </c>
      <c r="BS218">
        <v>519952495</v>
      </c>
      <c r="BT218">
        <v>99.06</v>
      </c>
      <c r="BU218">
        <v>0.85</v>
      </c>
      <c r="BV218">
        <v>0.08</v>
      </c>
      <c r="BW218">
        <v>0</v>
      </c>
      <c r="BX218">
        <v>0</v>
      </c>
      <c r="BY218">
        <v>0</v>
      </c>
      <c r="BZ218">
        <v>0</v>
      </c>
    </row>
    <row r="219" spans="1:78">
      <c r="A219" t="s">
        <v>103</v>
      </c>
      <c r="B219" t="s">
        <v>305</v>
      </c>
      <c r="C219" t="s">
        <v>262</v>
      </c>
      <c r="D219" t="s">
        <v>306</v>
      </c>
      <c r="E219">
        <v>459</v>
      </c>
      <c r="F219" t="s">
        <v>307</v>
      </c>
      <c r="G219">
        <v>1443223</v>
      </c>
      <c r="H219">
        <v>1154111</v>
      </c>
      <c r="I219">
        <v>37062263</v>
      </c>
      <c r="J219" t="s">
        <v>308</v>
      </c>
      <c r="K219" t="str">
        <f t="shared" si="11"/>
        <v>G51502105</v>
      </c>
      <c r="L219">
        <v>902124106</v>
      </c>
      <c r="M219" t="s">
        <v>309</v>
      </c>
      <c r="N219" t="s">
        <v>87</v>
      </c>
      <c r="O219" t="s">
        <v>310</v>
      </c>
      <c r="P219" t="s">
        <v>111</v>
      </c>
      <c r="Q219" t="s">
        <v>112</v>
      </c>
      <c r="R219" s="1">
        <v>46115</v>
      </c>
      <c r="S219" s="1">
        <v>46143</v>
      </c>
      <c r="T219" s="1">
        <v>46084</v>
      </c>
      <c r="U219">
        <v>11</v>
      </c>
      <c r="V219">
        <v>11</v>
      </c>
      <c r="W219" t="str">
        <f>"1k."</f>
        <v>1k.</v>
      </c>
      <c r="X219" t="s">
        <v>321</v>
      </c>
      <c r="Y219">
        <v>3528181</v>
      </c>
      <c r="Z219">
        <v>453036</v>
      </c>
      <c r="AA219" t="s">
        <v>94</v>
      </c>
      <c r="AB219" t="s">
        <v>95</v>
      </c>
      <c r="AC219" t="s">
        <v>96</v>
      </c>
      <c r="AD219" t="s">
        <v>95</v>
      </c>
      <c r="AE219" t="s">
        <v>95</v>
      </c>
      <c r="AF219" t="s">
        <v>123</v>
      </c>
      <c r="AN219" t="s">
        <v>123</v>
      </c>
      <c r="AO219" t="str">
        <f>"Excessive CEO to median employee pay ratio.  Inadequate sustainability metrics in remuneration. "</f>
        <v xml:space="preserve">Excessive CEO to median employee pay ratio.  Inadequate sustainability metrics in remuneration. </v>
      </c>
      <c r="AQ219" t="s">
        <v>232</v>
      </c>
      <c r="AS219">
        <v>100</v>
      </c>
      <c r="AT219" t="s">
        <v>117</v>
      </c>
      <c r="AU219" t="s">
        <v>118</v>
      </c>
      <c r="AV219">
        <v>10379</v>
      </c>
      <c r="AW219">
        <v>10379</v>
      </c>
      <c r="AY219">
        <v>0</v>
      </c>
      <c r="AZ219" s="1">
        <v>46297</v>
      </c>
      <c r="BB219">
        <v>492092</v>
      </c>
      <c r="BC219" t="s">
        <v>99</v>
      </c>
      <c r="BD219" s="1">
        <v>46055</v>
      </c>
      <c r="BE219" s="1">
        <v>46297</v>
      </c>
      <c r="BG219" t="s">
        <v>100</v>
      </c>
      <c r="BH219" t="str">
        <f t="shared" si="12"/>
        <v>936385548</v>
      </c>
      <c r="BI219" t="s">
        <v>101</v>
      </c>
      <c r="BJ219" t="s">
        <v>123</v>
      </c>
      <c r="BK219" t="s">
        <v>123</v>
      </c>
      <c r="BL219">
        <v>507469861</v>
      </c>
      <c r="BM219">
        <v>12051089</v>
      </c>
      <c r="BN219">
        <v>431545</v>
      </c>
      <c r="BO219">
        <v>0</v>
      </c>
      <c r="BP219">
        <v>0</v>
      </c>
      <c r="BQ219">
        <v>0</v>
      </c>
      <c r="BR219">
        <v>0</v>
      </c>
      <c r="BS219">
        <v>519952495</v>
      </c>
      <c r="BT219">
        <v>97.6</v>
      </c>
      <c r="BU219">
        <v>2.3199999999999998</v>
      </c>
      <c r="BV219">
        <v>0.08</v>
      </c>
      <c r="BW219">
        <v>0</v>
      </c>
      <c r="BX219">
        <v>0</v>
      </c>
      <c r="BY219">
        <v>0</v>
      </c>
      <c r="BZ219">
        <v>0</v>
      </c>
    </row>
    <row r="220" spans="1:78">
      <c r="A220" t="s">
        <v>103</v>
      </c>
      <c r="B220" t="s">
        <v>305</v>
      </c>
      <c r="C220" t="s">
        <v>262</v>
      </c>
      <c r="D220" t="s">
        <v>306</v>
      </c>
      <c r="E220">
        <v>459</v>
      </c>
      <c r="F220" t="s">
        <v>307</v>
      </c>
      <c r="G220">
        <v>1443223</v>
      </c>
      <c r="H220">
        <v>1154111</v>
      </c>
      <c r="I220">
        <v>37062263</v>
      </c>
      <c r="J220" t="s">
        <v>308</v>
      </c>
      <c r="K220" t="str">
        <f t="shared" si="11"/>
        <v>G51502105</v>
      </c>
      <c r="L220">
        <v>902124106</v>
      </c>
      <c r="M220" t="s">
        <v>309</v>
      </c>
      <c r="N220" t="s">
        <v>87</v>
      </c>
      <c r="O220" t="s">
        <v>310</v>
      </c>
      <c r="P220" t="s">
        <v>111</v>
      </c>
      <c r="Q220" t="s">
        <v>112</v>
      </c>
      <c r="R220" s="1">
        <v>46115</v>
      </c>
      <c r="S220" s="1">
        <v>46143</v>
      </c>
      <c r="T220" s="1">
        <v>46084</v>
      </c>
      <c r="U220">
        <v>12</v>
      </c>
      <c r="V220">
        <v>12</v>
      </c>
      <c r="W220" t="str">
        <f>"2a."</f>
        <v>2a.</v>
      </c>
      <c r="X220" t="s">
        <v>125</v>
      </c>
      <c r="AA220" t="s">
        <v>94</v>
      </c>
      <c r="AB220" t="s">
        <v>95</v>
      </c>
      <c r="AC220" t="s">
        <v>96</v>
      </c>
      <c r="AD220" t="s">
        <v>95</v>
      </c>
      <c r="AE220" t="s">
        <v>123</v>
      </c>
      <c r="AF220" t="s">
        <v>123</v>
      </c>
      <c r="AN220" t="s">
        <v>123</v>
      </c>
      <c r="AO220" t="str">
        <f>"The auditor's tenure is excessive."</f>
        <v>The auditor's tenure is excessive.</v>
      </c>
      <c r="AP220" t="str">
        <f>"The auditor's tenure is excessive."</f>
        <v>The auditor's tenure is excessive.</v>
      </c>
      <c r="AQ220" t="s">
        <v>232</v>
      </c>
      <c r="AS220">
        <v>200</v>
      </c>
      <c r="AT220" t="s">
        <v>126</v>
      </c>
      <c r="AU220" t="s">
        <v>125</v>
      </c>
      <c r="AV220">
        <v>10379</v>
      </c>
      <c r="AW220">
        <v>10379</v>
      </c>
      <c r="AY220">
        <v>0</v>
      </c>
      <c r="AZ220" s="1">
        <v>46297</v>
      </c>
      <c r="BB220">
        <v>492092</v>
      </c>
      <c r="BC220" t="s">
        <v>99</v>
      </c>
      <c r="BD220" s="1">
        <v>46055</v>
      </c>
      <c r="BE220" s="1">
        <v>46297</v>
      </c>
      <c r="BG220" t="s">
        <v>100</v>
      </c>
      <c r="BH220" t="str">
        <f t="shared" si="12"/>
        <v>936385548</v>
      </c>
      <c r="BI220" t="s">
        <v>101</v>
      </c>
      <c r="BJ220" t="s">
        <v>102</v>
      </c>
      <c r="BK220" t="s">
        <v>123</v>
      </c>
      <c r="BL220">
        <v>520720132</v>
      </c>
      <c r="BM220">
        <v>35018103</v>
      </c>
      <c r="BN220">
        <v>651830</v>
      </c>
      <c r="BO220">
        <v>0</v>
      </c>
      <c r="BP220">
        <v>0</v>
      </c>
      <c r="BQ220">
        <v>0</v>
      </c>
      <c r="BR220">
        <v>0</v>
      </c>
      <c r="BS220">
        <v>556390065</v>
      </c>
      <c r="BT220">
        <v>93.59</v>
      </c>
      <c r="BU220">
        <v>6.29</v>
      </c>
      <c r="BV220">
        <v>0.12</v>
      </c>
      <c r="BW220">
        <v>0</v>
      </c>
      <c r="BX220">
        <v>0</v>
      </c>
      <c r="BY220">
        <v>0</v>
      </c>
      <c r="BZ220">
        <v>0</v>
      </c>
    </row>
    <row r="221" spans="1:78">
      <c r="A221" t="s">
        <v>103</v>
      </c>
      <c r="B221" t="s">
        <v>305</v>
      </c>
      <c r="C221" t="s">
        <v>262</v>
      </c>
      <c r="D221" t="s">
        <v>306</v>
      </c>
      <c r="E221">
        <v>459</v>
      </c>
      <c r="F221" t="s">
        <v>307</v>
      </c>
      <c r="G221">
        <v>1443223</v>
      </c>
      <c r="H221">
        <v>1154111</v>
      </c>
      <c r="I221">
        <v>37062263</v>
      </c>
      <c r="J221" t="s">
        <v>308</v>
      </c>
      <c r="K221" t="str">
        <f t="shared" si="11"/>
        <v>G51502105</v>
      </c>
      <c r="L221">
        <v>902124106</v>
      </c>
      <c r="M221" t="s">
        <v>309</v>
      </c>
      <c r="N221" t="s">
        <v>87</v>
      </c>
      <c r="O221" t="s">
        <v>310</v>
      </c>
      <c r="P221" t="s">
        <v>111</v>
      </c>
      <c r="Q221" t="s">
        <v>112</v>
      </c>
      <c r="R221" s="1">
        <v>46115</v>
      </c>
      <c r="S221" s="1">
        <v>46143</v>
      </c>
      <c r="T221" s="1">
        <v>46084</v>
      </c>
      <c r="U221">
        <v>13</v>
      </c>
      <c r="V221">
        <v>13</v>
      </c>
      <c r="W221" t="str">
        <f>"2b."</f>
        <v>2b.</v>
      </c>
      <c r="X221" t="s">
        <v>222</v>
      </c>
      <c r="AA221" t="s">
        <v>94</v>
      </c>
      <c r="AB221" t="s">
        <v>95</v>
      </c>
      <c r="AC221" t="s">
        <v>96</v>
      </c>
      <c r="AD221" t="s">
        <v>95</v>
      </c>
      <c r="AE221" t="s">
        <v>95</v>
      </c>
      <c r="AF221" t="s">
        <v>95</v>
      </c>
      <c r="AN221" t="s">
        <v>95</v>
      </c>
      <c r="AQ221" t="s">
        <v>232</v>
      </c>
      <c r="AS221">
        <v>5230</v>
      </c>
      <c r="AT221" t="s">
        <v>126</v>
      </c>
      <c r="AU221" t="s">
        <v>222</v>
      </c>
      <c r="AV221">
        <v>10379</v>
      </c>
      <c r="AW221">
        <v>10379</v>
      </c>
      <c r="AY221">
        <v>0</v>
      </c>
      <c r="AZ221" s="1">
        <v>46297</v>
      </c>
      <c r="BB221">
        <v>492092</v>
      </c>
      <c r="BC221" t="s">
        <v>99</v>
      </c>
      <c r="BD221" s="1">
        <v>46055</v>
      </c>
      <c r="BE221" s="1">
        <v>46297</v>
      </c>
      <c r="BG221" t="s">
        <v>100</v>
      </c>
      <c r="BH221" t="str">
        <f t="shared" si="12"/>
        <v>936385548</v>
      </c>
      <c r="BI221" t="s">
        <v>101</v>
      </c>
      <c r="BJ221" t="s">
        <v>102</v>
      </c>
      <c r="BK221" t="s">
        <v>102</v>
      </c>
      <c r="BL221">
        <v>543530855</v>
      </c>
      <c r="BM221">
        <v>12401799</v>
      </c>
      <c r="BN221">
        <v>457411</v>
      </c>
      <c r="BO221">
        <v>0</v>
      </c>
      <c r="BP221">
        <v>0</v>
      </c>
      <c r="BQ221">
        <v>0</v>
      </c>
      <c r="BR221">
        <v>0</v>
      </c>
      <c r="BS221">
        <v>556390065</v>
      </c>
      <c r="BT221">
        <v>97.69</v>
      </c>
      <c r="BU221">
        <v>2.23</v>
      </c>
      <c r="BV221">
        <v>0.08</v>
      </c>
      <c r="BW221">
        <v>0</v>
      </c>
      <c r="BX221">
        <v>0</v>
      </c>
      <c r="BY221">
        <v>0</v>
      </c>
      <c r="BZ221">
        <v>0</v>
      </c>
    </row>
    <row r="222" spans="1:78">
      <c r="A222" t="s">
        <v>103</v>
      </c>
      <c r="B222" t="s">
        <v>305</v>
      </c>
      <c r="C222" t="s">
        <v>262</v>
      </c>
      <c r="D222" t="s">
        <v>306</v>
      </c>
      <c r="E222">
        <v>459</v>
      </c>
      <c r="F222" t="s">
        <v>307</v>
      </c>
      <c r="G222">
        <v>1443223</v>
      </c>
      <c r="H222">
        <v>1154111</v>
      </c>
      <c r="I222">
        <v>37062263</v>
      </c>
      <c r="J222" t="s">
        <v>308</v>
      </c>
      <c r="K222" t="str">
        <f t="shared" si="11"/>
        <v>G51502105</v>
      </c>
      <c r="L222">
        <v>902124106</v>
      </c>
      <c r="M222" t="s">
        <v>309</v>
      </c>
      <c r="N222" t="s">
        <v>87</v>
      </c>
      <c r="O222" t="s">
        <v>310</v>
      </c>
      <c r="P222" t="s">
        <v>111</v>
      </c>
      <c r="Q222" t="s">
        <v>112</v>
      </c>
      <c r="R222" s="1">
        <v>46115</v>
      </c>
      <c r="S222" s="1">
        <v>46143</v>
      </c>
      <c r="T222" s="1">
        <v>46084</v>
      </c>
      <c r="U222">
        <v>14</v>
      </c>
      <c r="V222">
        <v>14</v>
      </c>
      <c r="W222" t="str">
        <f>"3."</f>
        <v>3.</v>
      </c>
      <c r="X222" t="s">
        <v>204</v>
      </c>
      <c r="AA222" t="s">
        <v>94</v>
      </c>
      <c r="AB222" t="s">
        <v>95</v>
      </c>
      <c r="AC222" t="s">
        <v>96</v>
      </c>
      <c r="AD222" t="s">
        <v>95</v>
      </c>
      <c r="AE222" t="s">
        <v>95</v>
      </c>
      <c r="AF222" t="s">
        <v>95</v>
      </c>
      <c r="AN222" t="s">
        <v>95</v>
      </c>
      <c r="AQ222" t="s">
        <v>232</v>
      </c>
      <c r="AS222">
        <v>5838</v>
      </c>
      <c r="AT222" t="s">
        <v>198</v>
      </c>
      <c r="AU222" t="s">
        <v>204</v>
      </c>
      <c r="AV222">
        <v>10379</v>
      </c>
      <c r="AW222">
        <v>10379</v>
      </c>
      <c r="AY222">
        <v>0</v>
      </c>
      <c r="AZ222" s="1">
        <v>46297</v>
      </c>
      <c r="BB222">
        <v>492092</v>
      </c>
      <c r="BC222" t="s">
        <v>99</v>
      </c>
      <c r="BD222" s="1">
        <v>46055</v>
      </c>
      <c r="BE222" s="1">
        <v>46297</v>
      </c>
      <c r="BG222" t="s">
        <v>100</v>
      </c>
      <c r="BH222" t="str">
        <f t="shared" si="12"/>
        <v>936385548</v>
      </c>
      <c r="BI222" t="s">
        <v>101</v>
      </c>
      <c r="BJ222" t="s">
        <v>102</v>
      </c>
      <c r="BK222" t="s">
        <v>102</v>
      </c>
      <c r="BL222">
        <v>553051315</v>
      </c>
      <c r="BM222">
        <v>1647206</v>
      </c>
      <c r="BN222">
        <v>1691544</v>
      </c>
      <c r="BO222">
        <v>0</v>
      </c>
      <c r="BP222">
        <v>0</v>
      </c>
      <c r="BQ222">
        <v>0</v>
      </c>
      <c r="BR222">
        <v>0</v>
      </c>
      <c r="BS222">
        <v>556390065</v>
      </c>
      <c r="BT222">
        <v>99.4</v>
      </c>
      <c r="BU222">
        <v>0.3</v>
      </c>
      <c r="BV222">
        <v>0.3</v>
      </c>
      <c r="BW222">
        <v>0</v>
      </c>
      <c r="BX222">
        <v>0</v>
      </c>
      <c r="BY222">
        <v>0</v>
      </c>
      <c r="BZ222">
        <v>0</v>
      </c>
    </row>
    <row r="223" spans="1:78">
      <c r="A223" t="s">
        <v>103</v>
      </c>
      <c r="B223" t="s">
        <v>305</v>
      </c>
      <c r="C223" t="s">
        <v>262</v>
      </c>
      <c r="D223" t="s">
        <v>306</v>
      </c>
      <c r="E223">
        <v>459</v>
      </c>
      <c r="F223" t="s">
        <v>307</v>
      </c>
      <c r="G223">
        <v>1443223</v>
      </c>
      <c r="H223">
        <v>1154111</v>
      </c>
      <c r="I223">
        <v>37062263</v>
      </c>
      <c r="J223" t="s">
        <v>308</v>
      </c>
      <c r="K223" t="str">
        <f t="shared" si="11"/>
        <v>G51502105</v>
      </c>
      <c r="L223">
        <v>902124106</v>
      </c>
      <c r="M223" t="s">
        <v>309</v>
      </c>
      <c r="N223" t="s">
        <v>87</v>
      </c>
      <c r="O223" t="s">
        <v>310</v>
      </c>
      <c r="P223" t="s">
        <v>111</v>
      </c>
      <c r="Q223" t="s">
        <v>112</v>
      </c>
      <c r="R223" s="1">
        <v>46115</v>
      </c>
      <c r="S223" s="1">
        <v>46143</v>
      </c>
      <c r="T223" s="1">
        <v>46084</v>
      </c>
      <c r="U223">
        <v>15</v>
      </c>
      <c r="V223">
        <v>15</v>
      </c>
      <c r="W223" t="str">
        <f>"4."</f>
        <v>4.</v>
      </c>
      <c r="X223" t="s">
        <v>322</v>
      </c>
      <c r="AA223" t="s">
        <v>94</v>
      </c>
      <c r="AB223" t="s">
        <v>95</v>
      </c>
      <c r="AC223" t="s">
        <v>96</v>
      </c>
      <c r="AD223" t="s">
        <v>95</v>
      </c>
      <c r="AE223" t="s">
        <v>95</v>
      </c>
      <c r="AF223" t="s">
        <v>95</v>
      </c>
      <c r="AN223" t="s">
        <v>95</v>
      </c>
      <c r="AQ223" t="s">
        <v>232</v>
      </c>
      <c r="AS223">
        <v>5833</v>
      </c>
      <c r="AT223" t="s">
        <v>198</v>
      </c>
      <c r="AU223" t="s">
        <v>323</v>
      </c>
      <c r="AV223">
        <v>10379</v>
      </c>
      <c r="AW223">
        <v>10379</v>
      </c>
      <c r="AY223">
        <v>0</v>
      </c>
      <c r="AZ223" s="1">
        <v>46297</v>
      </c>
      <c r="BB223">
        <v>492092</v>
      </c>
      <c r="BC223" t="s">
        <v>99</v>
      </c>
      <c r="BD223" s="1">
        <v>46055</v>
      </c>
      <c r="BE223" s="1">
        <v>46297</v>
      </c>
      <c r="BG223" t="s">
        <v>100</v>
      </c>
      <c r="BH223" t="str">
        <f t="shared" si="12"/>
        <v>936385548</v>
      </c>
      <c r="BI223" t="s">
        <v>101</v>
      </c>
      <c r="BJ223" t="s">
        <v>102</v>
      </c>
      <c r="BK223" t="s">
        <v>102</v>
      </c>
      <c r="BL223">
        <v>551864210</v>
      </c>
      <c r="BM223">
        <v>2736338</v>
      </c>
      <c r="BN223">
        <v>1789517</v>
      </c>
      <c r="BO223">
        <v>0</v>
      </c>
      <c r="BP223">
        <v>0</v>
      </c>
      <c r="BQ223">
        <v>0</v>
      </c>
      <c r="BR223">
        <v>0</v>
      </c>
      <c r="BS223">
        <v>556390065</v>
      </c>
      <c r="BT223">
        <v>99.19</v>
      </c>
      <c r="BU223">
        <v>0.49</v>
      </c>
      <c r="BV223">
        <v>0.32</v>
      </c>
      <c r="BW223">
        <v>0</v>
      </c>
      <c r="BX223">
        <v>0</v>
      </c>
      <c r="BY223">
        <v>0</v>
      </c>
      <c r="BZ223">
        <v>0</v>
      </c>
    </row>
    <row r="224" spans="1:78">
      <c r="A224" t="s">
        <v>103</v>
      </c>
      <c r="B224" t="s">
        <v>305</v>
      </c>
      <c r="C224" t="s">
        <v>262</v>
      </c>
      <c r="D224" t="s">
        <v>306</v>
      </c>
      <c r="E224">
        <v>459</v>
      </c>
      <c r="F224" t="s">
        <v>307</v>
      </c>
      <c r="G224">
        <v>1443223</v>
      </c>
      <c r="H224">
        <v>1154111</v>
      </c>
      <c r="I224">
        <v>37062263</v>
      </c>
      <c r="J224" t="s">
        <v>308</v>
      </c>
      <c r="K224" t="str">
        <f t="shared" si="11"/>
        <v>G51502105</v>
      </c>
      <c r="L224">
        <v>902124106</v>
      </c>
      <c r="M224" t="s">
        <v>309</v>
      </c>
      <c r="N224" t="s">
        <v>87</v>
      </c>
      <c r="O224" t="s">
        <v>310</v>
      </c>
      <c r="P224" t="s">
        <v>111</v>
      </c>
      <c r="Q224" t="s">
        <v>112</v>
      </c>
      <c r="R224" s="1">
        <v>46115</v>
      </c>
      <c r="S224" s="1">
        <v>46143</v>
      </c>
      <c r="T224" s="1">
        <v>46084</v>
      </c>
      <c r="U224">
        <v>16</v>
      </c>
      <c r="V224">
        <v>16</v>
      </c>
      <c r="W224" t="str">
        <f>"5."</f>
        <v>5.</v>
      </c>
      <c r="X224" t="s">
        <v>127</v>
      </c>
      <c r="AA224" t="s">
        <v>94</v>
      </c>
      <c r="AB224" t="s">
        <v>95</v>
      </c>
      <c r="AC224" t="s">
        <v>96</v>
      </c>
      <c r="AD224" t="s">
        <v>95</v>
      </c>
      <c r="AE224" t="s">
        <v>95</v>
      </c>
      <c r="AF224" t="s">
        <v>123</v>
      </c>
      <c r="AN224" t="s">
        <v>123</v>
      </c>
      <c r="AO224" t="str">
        <f>"Excessive CEO to median employee pay ratio.  Inadequate sustainability metrics in remuneration. "</f>
        <v xml:space="preserve">Excessive CEO to median employee pay ratio.  Inadequate sustainability metrics in remuneration. </v>
      </c>
      <c r="AQ224" t="s">
        <v>232</v>
      </c>
      <c r="AS224">
        <v>605</v>
      </c>
      <c r="AT224" t="s">
        <v>128</v>
      </c>
      <c r="AU224" t="s">
        <v>127</v>
      </c>
      <c r="AV224">
        <v>10379</v>
      </c>
      <c r="AW224">
        <v>10379</v>
      </c>
      <c r="AY224">
        <v>0</v>
      </c>
      <c r="AZ224" s="1">
        <v>46297</v>
      </c>
      <c r="BB224">
        <v>492092</v>
      </c>
      <c r="BC224" t="s">
        <v>99</v>
      </c>
      <c r="BD224" s="1">
        <v>46055</v>
      </c>
      <c r="BE224" s="1">
        <v>46297</v>
      </c>
      <c r="BG224" t="s">
        <v>100</v>
      </c>
      <c r="BH224" t="str">
        <f t="shared" si="12"/>
        <v>936385548</v>
      </c>
      <c r="BI224" t="s">
        <v>101</v>
      </c>
      <c r="BJ224" t="s">
        <v>123</v>
      </c>
      <c r="BK224" t="s">
        <v>123</v>
      </c>
      <c r="BL224">
        <v>486785469</v>
      </c>
      <c r="BM224">
        <v>31871518</v>
      </c>
      <c r="BN224">
        <v>1295508</v>
      </c>
      <c r="BO224">
        <v>0</v>
      </c>
      <c r="BP224">
        <v>0</v>
      </c>
      <c r="BQ224">
        <v>0</v>
      </c>
      <c r="BR224">
        <v>0</v>
      </c>
      <c r="BS224">
        <v>519952495</v>
      </c>
      <c r="BT224">
        <v>93.62</v>
      </c>
      <c r="BU224">
        <v>6.13</v>
      </c>
      <c r="BV224">
        <v>0.25</v>
      </c>
      <c r="BW224">
        <v>0</v>
      </c>
      <c r="BX224">
        <v>0</v>
      </c>
      <c r="BY224">
        <v>0</v>
      </c>
      <c r="BZ224">
        <v>0</v>
      </c>
    </row>
    <row r="225" spans="1:78">
      <c r="A225" t="s">
        <v>103</v>
      </c>
      <c r="B225" t="s">
        <v>305</v>
      </c>
      <c r="C225" t="s">
        <v>262</v>
      </c>
      <c r="D225" t="s">
        <v>306</v>
      </c>
      <c r="E225">
        <v>459</v>
      </c>
      <c r="F225" t="s">
        <v>307</v>
      </c>
      <c r="G225">
        <v>1443223</v>
      </c>
      <c r="H225">
        <v>1154111</v>
      </c>
      <c r="I225">
        <v>37062263</v>
      </c>
      <c r="J225" t="s">
        <v>308</v>
      </c>
      <c r="K225" t="str">
        <f t="shared" si="11"/>
        <v>G51502105</v>
      </c>
      <c r="L225">
        <v>902124106</v>
      </c>
      <c r="M225" t="s">
        <v>309</v>
      </c>
      <c r="N225" t="s">
        <v>87</v>
      </c>
      <c r="O225" t="s">
        <v>310</v>
      </c>
      <c r="P225" t="s">
        <v>111</v>
      </c>
      <c r="Q225" t="s">
        <v>112</v>
      </c>
      <c r="R225" s="1">
        <v>46115</v>
      </c>
      <c r="S225" s="1">
        <v>46143</v>
      </c>
      <c r="T225" s="1">
        <v>46084</v>
      </c>
      <c r="U225">
        <v>17</v>
      </c>
      <c r="V225">
        <v>17</v>
      </c>
      <c r="W225" t="str">
        <f>"6."</f>
        <v>6.</v>
      </c>
      <c r="X225" t="s">
        <v>324</v>
      </c>
      <c r="AA225" t="s">
        <v>94</v>
      </c>
      <c r="AB225" t="s">
        <v>95</v>
      </c>
      <c r="AC225" t="s">
        <v>96</v>
      </c>
      <c r="AD225" t="s">
        <v>95</v>
      </c>
      <c r="AE225" t="s">
        <v>95</v>
      </c>
      <c r="AF225" t="s">
        <v>95</v>
      </c>
      <c r="AN225" t="s">
        <v>95</v>
      </c>
      <c r="AQ225" t="s">
        <v>232</v>
      </c>
      <c r="AS225">
        <v>5800</v>
      </c>
      <c r="AT225" t="s">
        <v>198</v>
      </c>
      <c r="AU225" t="s">
        <v>324</v>
      </c>
      <c r="AV225">
        <v>10379</v>
      </c>
      <c r="AW225">
        <v>10379</v>
      </c>
      <c r="AY225">
        <v>0</v>
      </c>
      <c r="AZ225" s="1">
        <v>46297</v>
      </c>
      <c r="BB225">
        <v>492092</v>
      </c>
      <c r="BC225" t="s">
        <v>99</v>
      </c>
      <c r="BD225" s="1">
        <v>46055</v>
      </c>
      <c r="BE225" s="1">
        <v>46297</v>
      </c>
      <c r="BG225" t="s">
        <v>100</v>
      </c>
      <c r="BH225" t="str">
        <f t="shared" si="12"/>
        <v>936385548</v>
      </c>
      <c r="BI225" t="s">
        <v>101</v>
      </c>
      <c r="BJ225" t="s">
        <v>102</v>
      </c>
      <c r="BK225" t="s">
        <v>102</v>
      </c>
      <c r="BL225">
        <v>545774002</v>
      </c>
      <c r="BM225">
        <v>9888062</v>
      </c>
      <c r="BN225">
        <v>728001</v>
      </c>
      <c r="BO225">
        <v>0</v>
      </c>
      <c r="BP225">
        <v>0</v>
      </c>
      <c r="BQ225">
        <v>0</v>
      </c>
      <c r="BR225">
        <v>0</v>
      </c>
      <c r="BS225">
        <v>556390065</v>
      </c>
      <c r="BT225">
        <v>98.09</v>
      </c>
      <c r="BU225">
        <v>1.78</v>
      </c>
      <c r="BV225">
        <v>0.13</v>
      </c>
      <c r="BW225">
        <v>0</v>
      </c>
      <c r="BX225">
        <v>0</v>
      </c>
      <c r="BY225">
        <v>0</v>
      </c>
      <c r="BZ225">
        <v>0</v>
      </c>
    </row>
    <row r="226" spans="1:78">
      <c r="A226" t="s">
        <v>103</v>
      </c>
      <c r="B226" t="s">
        <v>305</v>
      </c>
      <c r="C226" t="s">
        <v>262</v>
      </c>
      <c r="D226" t="s">
        <v>306</v>
      </c>
      <c r="E226">
        <v>459</v>
      </c>
      <c r="F226" t="s">
        <v>307</v>
      </c>
      <c r="G226">
        <v>1443223</v>
      </c>
      <c r="H226">
        <v>1154111</v>
      </c>
      <c r="I226">
        <v>37062263</v>
      </c>
      <c r="J226" t="s">
        <v>308</v>
      </c>
      <c r="K226" t="str">
        <f t="shared" si="11"/>
        <v>G51502105</v>
      </c>
      <c r="L226">
        <v>902124106</v>
      </c>
      <c r="M226" t="s">
        <v>309</v>
      </c>
      <c r="N226" t="s">
        <v>87</v>
      </c>
      <c r="O226" t="s">
        <v>310</v>
      </c>
      <c r="P226" t="s">
        <v>111</v>
      </c>
      <c r="Q226" t="s">
        <v>112</v>
      </c>
      <c r="R226" s="1">
        <v>46115</v>
      </c>
      <c r="S226" s="1">
        <v>46143</v>
      </c>
      <c r="T226" s="1">
        <v>46084</v>
      </c>
      <c r="U226">
        <v>18</v>
      </c>
      <c r="V226">
        <v>18</v>
      </c>
      <c r="W226" t="str">
        <f>"7."</f>
        <v>7.</v>
      </c>
      <c r="X226" t="s">
        <v>225</v>
      </c>
      <c r="AA226" t="s">
        <v>94</v>
      </c>
      <c r="AB226" t="s">
        <v>95</v>
      </c>
      <c r="AC226" t="s">
        <v>96</v>
      </c>
      <c r="AD226" t="s">
        <v>95</v>
      </c>
      <c r="AE226" t="s">
        <v>95</v>
      </c>
      <c r="AF226" t="s">
        <v>123</v>
      </c>
      <c r="AN226" t="s">
        <v>123</v>
      </c>
      <c r="AO226" t="str">
        <f>"We do not support authorisation to disapply pre-emption rights over more than 10%. "</f>
        <v xml:space="preserve">We do not support authorisation to disapply pre-emption rights over more than 10%. </v>
      </c>
      <c r="AQ226" t="s">
        <v>232</v>
      </c>
      <c r="AS226">
        <v>5803</v>
      </c>
      <c r="AT226" t="s">
        <v>198</v>
      </c>
      <c r="AU226" t="s">
        <v>225</v>
      </c>
      <c r="AV226">
        <v>10379</v>
      </c>
      <c r="AW226">
        <v>10379</v>
      </c>
      <c r="AY226">
        <v>0</v>
      </c>
      <c r="AZ226" s="1">
        <v>46297</v>
      </c>
      <c r="BB226">
        <v>492092</v>
      </c>
      <c r="BC226" t="s">
        <v>99</v>
      </c>
      <c r="BD226" s="1">
        <v>46055</v>
      </c>
      <c r="BE226" s="1">
        <v>46297</v>
      </c>
      <c r="BG226" t="s">
        <v>100</v>
      </c>
      <c r="BH226" t="str">
        <f t="shared" si="12"/>
        <v>936385548</v>
      </c>
      <c r="BI226" t="s">
        <v>101</v>
      </c>
      <c r="BJ226" t="s">
        <v>123</v>
      </c>
      <c r="BK226" t="s">
        <v>123</v>
      </c>
      <c r="BL226">
        <v>519852079</v>
      </c>
      <c r="BM226">
        <v>35629785</v>
      </c>
      <c r="BN226">
        <v>908201</v>
      </c>
      <c r="BO226">
        <v>0</v>
      </c>
      <c r="BP226">
        <v>0</v>
      </c>
      <c r="BQ226">
        <v>0</v>
      </c>
      <c r="BR226">
        <v>0</v>
      </c>
      <c r="BS226">
        <v>556390065</v>
      </c>
      <c r="BT226">
        <v>93.43</v>
      </c>
      <c r="BU226">
        <v>6.4</v>
      </c>
      <c r="BV226">
        <v>0.16</v>
      </c>
      <c r="BW226">
        <v>0</v>
      </c>
      <c r="BX226">
        <v>0</v>
      </c>
      <c r="BY226">
        <v>0</v>
      </c>
      <c r="BZ226">
        <v>0</v>
      </c>
    </row>
    <row r="227" spans="1:78">
      <c r="A227" t="s">
        <v>325</v>
      </c>
      <c r="B227" t="s">
        <v>81</v>
      </c>
      <c r="C227" t="s">
        <v>82</v>
      </c>
      <c r="D227" t="s">
        <v>326</v>
      </c>
      <c r="E227">
        <v>46938</v>
      </c>
      <c r="F227" t="s">
        <v>327</v>
      </c>
      <c r="G227">
        <v>1464882</v>
      </c>
      <c r="H227">
        <v>1161813</v>
      </c>
      <c r="I227">
        <v>37218645</v>
      </c>
      <c r="J227">
        <v>440171</v>
      </c>
      <c r="L227" t="s">
        <v>328</v>
      </c>
      <c r="M227" t="s">
        <v>329</v>
      </c>
      <c r="N227" t="s">
        <v>87</v>
      </c>
      <c r="O227" t="s">
        <v>210</v>
      </c>
      <c r="P227" t="s">
        <v>210</v>
      </c>
      <c r="Q227" t="s">
        <v>330</v>
      </c>
      <c r="R227" s="1">
        <v>46359</v>
      </c>
      <c r="T227" s="1">
        <v>46115</v>
      </c>
      <c r="U227">
        <v>1</v>
      </c>
      <c r="V227">
        <v>1</v>
      </c>
      <c r="W227" t="str">
        <f>"1"</f>
        <v>1</v>
      </c>
      <c r="X227" t="s">
        <v>331</v>
      </c>
      <c r="AA227" t="s">
        <v>94</v>
      </c>
      <c r="AB227" t="s">
        <v>95</v>
      </c>
      <c r="AC227" t="s">
        <v>96</v>
      </c>
      <c r="AD227" t="s">
        <v>95</v>
      </c>
      <c r="AE227" t="s">
        <v>95</v>
      </c>
      <c r="AF227" t="s">
        <v>95</v>
      </c>
      <c r="AN227" t="s">
        <v>95</v>
      </c>
      <c r="AQ227" t="s">
        <v>268</v>
      </c>
      <c r="AS227">
        <v>6185</v>
      </c>
      <c r="AT227" t="s">
        <v>98</v>
      </c>
      <c r="AU227" t="s">
        <v>196</v>
      </c>
      <c r="AV227">
        <v>6793931</v>
      </c>
      <c r="AW227">
        <v>6793931</v>
      </c>
      <c r="AY227">
        <v>0</v>
      </c>
      <c r="AZ227" t="s">
        <v>291</v>
      </c>
      <c r="BB227">
        <v>505606</v>
      </c>
      <c r="BC227" t="s">
        <v>99</v>
      </c>
      <c r="BD227" t="s">
        <v>332</v>
      </c>
      <c r="BE227" t="s">
        <v>333</v>
      </c>
      <c r="BG227" t="s">
        <v>100</v>
      </c>
      <c r="BH227" t="str">
        <f>"720914248"</f>
        <v>720914248</v>
      </c>
      <c r="BI227" t="s">
        <v>101</v>
      </c>
      <c r="BJ227" t="s">
        <v>102</v>
      </c>
      <c r="BK227" t="s">
        <v>102</v>
      </c>
      <c r="BL227">
        <v>386945843</v>
      </c>
      <c r="BM227">
        <v>563925</v>
      </c>
      <c r="BN227">
        <v>0</v>
      </c>
      <c r="BO227">
        <v>472703</v>
      </c>
      <c r="BP227">
        <v>0</v>
      </c>
      <c r="BQ227">
        <v>0</v>
      </c>
      <c r="BR227">
        <v>0</v>
      </c>
      <c r="BS227">
        <v>387982471</v>
      </c>
      <c r="BT227">
        <v>99.73</v>
      </c>
      <c r="BU227">
        <v>0.15</v>
      </c>
      <c r="BV227">
        <v>0</v>
      </c>
      <c r="BW227">
        <v>0.12</v>
      </c>
      <c r="BX227">
        <v>0</v>
      </c>
      <c r="BY227">
        <v>0</v>
      </c>
      <c r="BZ227">
        <v>0</v>
      </c>
    </row>
    <row r="228" spans="1:78">
      <c r="A228" t="s">
        <v>152</v>
      </c>
      <c r="B228" t="s">
        <v>334</v>
      </c>
      <c r="C228" t="s">
        <v>154</v>
      </c>
      <c r="D228" t="s">
        <v>335</v>
      </c>
      <c r="E228">
        <v>13</v>
      </c>
      <c r="F228" t="s">
        <v>336</v>
      </c>
      <c r="G228">
        <v>1448045</v>
      </c>
      <c r="H228">
        <v>1155117</v>
      </c>
      <c r="I228">
        <v>37149173</v>
      </c>
      <c r="J228" t="s">
        <v>337</v>
      </c>
      <c r="K228" t="str">
        <f t="shared" ref="K228:K241" si="13">"00846U101"</f>
        <v>00846U101</v>
      </c>
      <c r="L228" t="s">
        <v>338</v>
      </c>
      <c r="M228" t="s">
        <v>339</v>
      </c>
      <c r="N228" t="s">
        <v>110</v>
      </c>
      <c r="O228" t="s">
        <v>111</v>
      </c>
      <c r="P228" t="s">
        <v>111</v>
      </c>
      <c r="Q228" t="s">
        <v>112</v>
      </c>
      <c r="R228" t="s">
        <v>340</v>
      </c>
      <c r="S228" t="s">
        <v>213</v>
      </c>
      <c r="T228" t="s">
        <v>341</v>
      </c>
      <c r="U228">
        <v>1</v>
      </c>
      <c r="V228">
        <v>1</v>
      </c>
      <c r="W228" t="str">
        <f>"1.1"</f>
        <v>1.1</v>
      </c>
      <c r="X228" t="s">
        <v>342</v>
      </c>
      <c r="Y228">
        <v>3531887</v>
      </c>
      <c r="Z228">
        <v>219455</v>
      </c>
      <c r="AA228" t="s">
        <v>94</v>
      </c>
      <c r="AB228" t="s">
        <v>95</v>
      </c>
      <c r="AC228" t="s">
        <v>96</v>
      </c>
      <c r="AD228" t="s">
        <v>95</v>
      </c>
      <c r="AE228" t="s">
        <v>95</v>
      </c>
      <c r="AF228" t="s">
        <v>95</v>
      </c>
      <c r="AN228" t="s">
        <v>95</v>
      </c>
      <c r="AQ228" t="s">
        <v>341</v>
      </c>
      <c r="AS228">
        <v>100</v>
      </c>
      <c r="AT228" t="s">
        <v>117</v>
      </c>
      <c r="AU228" t="s">
        <v>118</v>
      </c>
      <c r="AV228">
        <v>4524</v>
      </c>
      <c r="AW228">
        <v>4524</v>
      </c>
      <c r="AX228">
        <v>4524</v>
      </c>
      <c r="AY228">
        <v>0</v>
      </c>
      <c r="AZ228" t="s">
        <v>268</v>
      </c>
      <c r="BB228">
        <v>492095</v>
      </c>
      <c r="BC228" t="s">
        <v>99</v>
      </c>
      <c r="BD228" t="s">
        <v>293</v>
      </c>
      <c r="BE228" t="s">
        <v>268</v>
      </c>
      <c r="BG228" t="s">
        <v>100</v>
      </c>
      <c r="BH228" t="str">
        <f t="shared" ref="BH228:BH241" si="14">"936387580"</f>
        <v>936387580</v>
      </c>
      <c r="BI228" t="s">
        <v>101</v>
      </c>
      <c r="BJ228" t="s">
        <v>102</v>
      </c>
      <c r="BK228" t="s">
        <v>102</v>
      </c>
      <c r="BL228">
        <v>227166748</v>
      </c>
      <c r="BM228">
        <v>570646</v>
      </c>
      <c r="BN228">
        <v>211727</v>
      </c>
      <c r="BO228">
        <v>0</v>
      </c>
      <c r="BP228">
        <v>0</v>
      </c>
      <c r="BQ228">
        <v>0</v>
      </c>
      <c r="BR228">
        <v>0</v>
      </c>
      <c r="BS228">
        <v>227949121</v>
      </c>
      <c r="BT228">
        <v>99.66</v>
      </c>
      <c r="BU228">
        <v>0.25</v>
      </c>
      <c r="BV228">
        <v>0.09</v>
      </c>
      <c r="BW228">
        <v>0</v>
      </c>
      <c r="BX228">
        <v>0</v>
      </c>
      <c r="BY228">
        <v>0</v>
      </c>
      <c r="BZ228">
        <v>0</v>
      </c>
    </row>
    <row r="229" spans="1:78">
      <c r="A229" t="s">
        <v>152</v>
      </c>
      <c r="B229" t="s">
        <v>334</v>
      </c>
      <c r="C229" t="s">
        <v>154</v>
      </c>
      <c r="D229" t="s">
        <v>335</v>
      </c>
      <c r="E229">
        <v>13</v>
      </c>
      <c r="F229" t="s">
        <v>336</v>
      </c>
      <c r="G229">
        <v>1448045</v>
      </c>
      <c r="H229">
        <v>1155117</v>
      </c>
      <c r="I229">
        <v>37149173</v>
      </c>
      <c r="J229" t="s">
        <v>337</v>
      </c>
      <c r="K229" t="str">
        <f t="shared" si="13"/>
        <v>00846U101</v>
      </c>
      <c r="L229" t="s">
        <v>338</v>
      </c>
      <c r="M229" t="s">
        <v>339</v>
      </c>
      <c r="N229" t="s">
        <v>110</v>
      </c>
      <c r="O229" t="s">
        <v>111</v>
      </c>
      <c r="P229" t="s">
        <v>111</v>
      </c>
      <c r="Q229" t="s">
        <v>112</v>
      </c>
      <c r="R229" t="s">
        <v>340</v>
      </c>
      <c r="S229" t="s">
        <v>213</v>
      </c>
      <c r="T229" t="s">
        <v>341</v>
      </c>
      <c r="U229">
        <v>2</v>
      </c>
      <c r="V229">
        <v>2</v>
      </c>
      <c r="W229" t="str">
        <f>"1.2"</f>
        <v>1.2</v>
      </c>
      <c r="X229" t="s">
        <v>343</v>
      </c>
      <c r="Y229">
        <v>3531825</v>
      </c>
      <c r="Z229">
        <v>405443</v>
      </c>
      <c r="AA229" t="s">
        <v>94</v>
      </c>
      <c r="AB229" t="s">
        <v>95</v>
      </c>
      <c r="AC229" t="s">
        <v>96</v>
      </c>
      <c r="AD229" t="s">
        <v>95</v>
      </c>
      <c r="AE229" t="s">
        <v>95</v>
      </c>
      <c r="AF229" t="s">
        <v>95</v>
      </c>
      <c r="AN229" t="s">
        <v>95</v>
      </c>
      <c r="AQ229" t="s">
        <v>341</v>
      </c>
      <c r="AS229">
        <v>100</v>
      </c>
      <c r="AT229" t="s">
        <v>117</v>
      </c>
      <c r="AU229" t="s">
        <v>118</v>
      </c>
      <c r="AV229">
        <v>4524</v>
      </c>
      <c r="AW229">
        <v>4524</v>
      </c>
      <c r="AX229">
        <v>4524</v>
      </c>
      <c r="AY229">
        <v>0</v>
      </c>
      <c r="AZ229" t="s">
        <v>268</v>
      </c>
      <c r="BB229">
        <v>492095</v>
      </c>
      <c r="BC229" t="s">
        <v>99</v>
      </c>
      <c r="BD229" t="s">
        <v>293</v>
      </c>
      <c r="BE229" t="s">
        <v>268</v>
      </c>
      <c r="BG229" t="s">
        <v>100</v>
      </c>
      <c r="BH229" t="str">
        <f t="shared" si="14"/>
        <v>936387580</v>
      </c>
      <c r="BI229" t="s">
        <v>101</v>
      </c>
      <c r="BJ229" t="s">
        <v>102</v>
      </c>
      <c r="BK229" t="s">
        <v>102</v>
      </c>
      <c r="BL229">
        <v>225415342</v>
      </c>
      <c r="BM229">
        <v>2401243</v>
      </c>
      <c r="BN229">
        <v>132536</v>
      </c>
      <c r="BO229">
        <v>0</v>
      </c>
      <c r="BP229">
        <v>0</v>
      </c>
      <c r="BQ229">
        <v>0</v>
      </c>
      <c r="BR229">
        <v>0</v>
      </c>
      <c r="BS229">
        <v>227949121</v>
      </c>
      <c r="BT229">
        <v>98.89</v>
      </c>
      <c r="BU229">
        <v>1.05</v>
      </c>
      <c r="BV229">
        <v>0.06</v>
      </c>
      <c r="BW229">
        <v>0</v>
      </c>
      <c r="BX229">
        <v>0</v>
      </c>
      <c r="BY229">
        <v>0</v>
      </c>
      <c r="BZ229">
        <v>0</v>
      </c>
    </row>
    <row r="230" spans="1:78">
      <c r="A230" t="s">
        <v>152</v>
      </c>
      <c r="B230" t="s">
        <v>334</v>
      </c>
      <c r="C230" t="s">
        <v>154</v>
      </c>
      <c r="D230" t="s">
        <v>335</v>
      </c>
      <c r="E230">
        <v>13</v>
      </c>
      <c r="F230" t="s">
        <v>336</v>
      </c>
      <c r="G230">
        <v>1448045</v>
      </c>
      <c r="H230">
        <v>1155117</v>
      </c>
      <c r="I230">
        <v>37149173</v>
      </c>
      <c r="J230" t="s">
        <v>337</v>
      </c>
      <c r="K230" t="str">
        <f t="shared" si="13"/>
        <v>00846U101</v>
      </c>
      <c r="L230" t="s">
        <v>338</v>
      </c>
      <c r="M230" t="s">
        <v>339</v>
      </c>
      <c r="N230" t="s">
        <v>110</v>
      </c>
      <c r="O230" t="s">
        <v>111</v>
      </c>
      <c r="P230" t="s">
        <v>111</v>
      </c>
      <c r="Q230" t="s">
        <v>112</v>
      </c>
      <c r="R230" t="s">
        <v>340</v>
      </c>
      <c r="S230" t="s">
        <v>213</v>
      </c>
      <c r="T230" t="s">
        <v>341</v>
      </c>
      <c r="U230">
        <v>3</v>
      </c>
      <c r="V230">
        <v>3</v>
      </c>
      <c r="W230" t="str">
        <f>"1.3"</f>
        <v>1.3</v>
      </c>
      <c r="X230" t="s">
        <v>344</v>
      </c>
      <c r="Y230">
        <v>3531821</v>
      </c>
      <c r="Z230">
        <v>87579</v>
      </c>
      <c r="AA230" t="s">
        <v>94</v>
      </c>
      <c r="AB230" t="s">
        <v>95</v>
      </c>
      <c r="AC230" t="s">
        <v>96</v>
      </c>
      <c r="AD230" t="s">
        <v>95</v>
      </c>
      <c r="AE230" t="s">
        <v>123</v>
      </c>
      <c r="AF230" t="s">
        <v>123</v>
      </c>
      <c r="AN230" t="s">
        <v>123</v>
      </c>
      <c r="AO230" t="str">
        <f>"1. Inadequate remuneration incentive linked to ESG criteria. 2. We view the executive's remuneration as being excessive"</f>
        <v>1. Inadequate remuneration incentive linked to ESG criteria. 2. We view the executive's remuneration as being excessive</v>
      </c>
      <c r="AP230" t="str">
        <f>"There is insufficient female representation on the board of directors."</f>
        <v>There is insufficient female representation on the board of directors.</v>
      </c>
      <c r="AQ230" t="s">
        <v>341</v>
      </c>
      <c r="AS230">
        <v>100</v>
      </c>
      <c r="AT230" t="s">
        <v>117</v>
      </c>
      <c r="AU230" t="s">
        <v>118</v>
      </c>
      <c r="AV230">
        <v>4524</v>
      </c>
      <c r="AW230">
        <v>4524</v>
      </c>
      <c r="AX230">
        <v>4524</v>
      </c>
      <c r="AY230">
        <v>0</v>
      </c>
      <c r="AZ230" t="s">
        <v>268</v>
      </c>
      <c r="BB230">
        <v>492095</v>
      </c>
      <c r="BC230" t="s">
        <v>99</v>
      </c>
      <c r="BD230" t="s">
        <v>293</v>
      </c>
      <c r="BE230" t="s">
        <v>268</v>
      </c>
      <c r="BG230" t="s">
        <v>100</v>
      </c>
      <c r="BH230" t="str">
        <f t="shared" si="14"/>
        <v>936387580</v>
      </c>
      <c r="BI230" t="s">
        <v>101</v>
      </c>
      <c r="BJ230" t="s">
        <v>102</v>
      </c>
      <c r="BK230" t="s">
        <v>123</v>
      </c>
      <c r="BL230">
        <v>196677563</v>
      </c>
      <c r="BM230">
        <v>28634515</v>
      </c>
      <c r="BN230">
        <v>2637043</v>
      </c>
      <c r="BO230">
        <v>0</v>
      </c>
      <c r="BP230">
        <v>0</v>
      </c>
      <c r="BQ230">
        <v>0</v>
      </c>
      <c r="BR230">
        <v>0</v>
      </c>
      <c r="BS230">
        <v>227949121</v>
      </c>
      <c r="BT230">
        <v>86.28</v>
      </c>
      <c r="BU230">
        <v>12.56</v>
      </c>
      <c r="BV230">
        <v>1.1599999999999999</v>
      </c>
      <c r="BW230">
        <v>0</v>
      </c>
      <c r="BX230">
        <v>0</v>
      </c>
      <c r="BY230">
        <v>0</v>
      </c>
      <c r="BZ230">
        <v>0</v>
      </c>
    </row>
    <row r="231" spans="1:78">
      <c r="A231" t="s">
        <v>152</v>
      </c>
      <c r="B231" t="s">
        <v>334</v>
      </c>
      <c r="C231" t="s">
        <v>154</v>
      </c>
      <c r="D231" t="s">
        <v>335</v>
      </c>
      <c r="E231">
        <v>13</v>
      </c>
      <c r="F231" t="s">
        <v>336</v>
      </c>
      <c r="G231">
        <v>1448045</v>
      </c>
      <c r="H231">
        <v>1155117</v>
      </c>
      <c r="I231">
        <v>37149173</v>
      </c>
      <c r="J231" t="s">
        <v>337</v>
      </c>
      <c r="K231" t="str">
        <f t="shared" si="13"/>
        <v>00846U101</v>
      </c>
      <c r="L231" t="s">
        <v>338</v>
      </c>
      <c r="M231" t="s">
        <v>339</v>
      </c>
      <c r="N231" t="s">
        <v>110</v>
      </c>
      <c r="O231" t="s">
        <v>111</v>
      </c>
      <c r="P231" t="s">
        <v>111</v>
      </c>
      <c r="Q231" t="s">
        <v>112</v>
      </c>
      <c r="R231" t="s">
        <v>340</v>
      </c>
      <c r="S231" t="s">
        <v>213</v>
      </c>
      <c r="T231" t="s">
        <v>341</v>
      </c>
      <c r="U231">
        <v>4</v>
      </c>
      <c r="V231">
        <v>4</v>
      </c>
      <c r="W231" t="str">
        <f>"1.4"</f>
        <v>1.4</v>
      </c>
      <c r="X231" t="s">
        <v>345</v>
      </c>
      <c r="Y231">
        <v>3531823</v>
      </c>
      <c r="Z231">
        <v>169539</v>
      </c>
      <c r="AA231" t="s">
        <v>94</v>
      </c>
      <c r="AB231" t="s">
        <v>95</v>
      </c>
      <c r="AC231" t="s">
        <v>96</v>
      </c>
      <c r="AD231" t="s">
        <v>95</v>
      </c>
      <c r="AE231" t="s">
        <v>95</v>
      </c>
      <c r="AF231" t="s">
        <v>123</v>
      </c>
      <c r="AN231" t="s">
        <v>123</v>
      </c>
      <c r="AO231" t="str">
        <f>"1. Auditor tenure too long 2. Both nomination and governance committees lack majority independence as 2 out of 3 directors  have served the company for over 10 years. 3. Inadequate gender diversity on the board"</f>
        <v>1. Auditor tenure too long 2. Both nomination and governance committees lack majority independence as 2 out of 3 directors  have served the company for over 10 years. 3. Inadequate gender diversity on the board</v>
      </c>
      <c r="AQ231" t="s">
        <v>341</v>
      </c>
      <c r="AS231">
        <v>100</v>
      </c>
      <c r="AT231" t="s">
        <v>117</v>
      </c>
      <c r="AU231" t="s">
        <v>118</v>
      </c>
      <c r="AV231">
        <v>4524</v>
      </c>
      <c r="AW231">
        <v>4524</v>
      </c>
      <c r="AX231">
        <v>4524</v>
      </c>
      <c r="AY231">
        <v>0</v>
      </c>
      <c r="AZ231" t="s">
        <v>268</v>
      </c>
      <c r="BB231">
        <v>492095</v>
      </c>
      <c r="BC231" t="s">
        <v>99</v>
      </c>
      <c r="BD231" t="s">
        <v>293</v>
      </c>
      <c r="BE231" t="s">
        <v>268</v>
      </c>
      <c r="BG231" t="s">
        <v>100</v>
      </c>
      <c r="BH231" t="str">
        <f t="shared" si="14"/>
        <v>936387580</v>
      </c>
      <c r="BI231" t="s">
        <v>101</v>
      </c>
      <c r="BJ231" t="s">
        <v>123</v>
      </c>
      <c r="BK231" t="s">
        <v>123</v>
      </c>
      <c r="BL231">
        <v>211983917</v>
      </c>
      <c r="BM231">
        <v>15445195</v>
      </c>
      <c r="BN231">
        <v>520009</v>
      </c>
      <c r="BO231">
        <v>0</v>
      </c>
      <c r="BP231">
        <v>0</v>
      </c>
      <c r="BQ231">
        <v>0</v>
      </c>
      <c r="BR231">
        <v>0</v>
      </c>
      <c r="BS231">
        <v>227949121</v>
      </c>
      <c r="BT231">
        <v>93</v>
      </c>
      <c r="BU231">
        <v>6.78</v>
      </c>
      <c r="BV231">
        <v>0.23</v>
      </c>
      <c r="BW231">
        <v>0</v>
      </c>
      <c r="BX231">
        <v>0</v>
      </c>
      <c r="BY231">
        <v>0</v>
      </c>
      <c r="BZ231">
        <v>0</v>
      </c>
    </row>
    <row r="232" spans="1:78">
      <c r="A232" t="s">
        <v>152</v>
      </c>
      <c r="B232" t="s">
        <v>334</v>
      </c>
      <c r="C232" t="s">
        <v>154</v>
      </c>
      <c r="D232" t="s">
        <v>335</v>
      </c>
      <c r="E232">
        <v>13</v>
      </c>
      <c r="F232" t="s">
        <v>336</v>
      </c>
      <c r="G232">
        <v>1448045</v>
      </c>
      <c r="H232">
        <v>1155117</v>
      </c>
      <c r="I232">
        <v>37149173</v>
      </c>
      <c r="J232" t="s">
        <v>337</v>
      </c>
      <c r="K232" t="str">
        <f t="shared" si="13"/>
        <v>00846U101</v>
      </c>
      <c r="L232" t="s">
        <v>338</v>
      </c>
      <c r="M232" t="s">
        <v>339</v>
      </c>
      <c r="N232" t="s">
        <v>110</v>
      </c>
      <c r="O232" t="s">
        <v>111</v>
      </c>
      <c r="P232" t="s">
        <v>111</v>
      </c>
      <c r="Q232" t="s">
        <v>112</v>
      </c>
      <c r="R232" t="s">
        <v>340</v>
      </c>
      <c r="S232" t="s">
        <v>213</v>
      </c>
      <c r="T232" t="s">
        <v>341</v>
      </c>
      <c r="U232">
        <v>5</v>
      </c>
      <c r="V232">
        <v>5</v>
      </c>
      <c r="W232" t="str">
        <f>"2."</f>
        <v>2.</v>
      </c>
      <c r="X232" t="s">
        <v>127</v>
      </c>
      <c r="AA232" t="s">
        <v>94</v>
      </c>
      <c r="AB232" t="s">
        <v>95</v>
      </c>
      <c r="AC232" t="s">
        <v>96</v>
      </c>
      <c r="AD232" t="s">
        <v>95</v>
      </c>
      <c r="AE232" t="s">
        <v>95</v>
      </c>
      <c r="AF232" t="s">
        <v>123</v>
      </c>
      <c r="AN232" t="s">
        <v>123</v>
      </c>
      <c r="AO232" t="str">
        <f>"1. Inadequate remuneration incentive linked to ESG criteria. 2. We view the executive's remuneration as being excessive. "</f>
        <v xml:space="preserve">1. Inadequate remuneration incentive linked to ESG criteria. 2. We view the executive's remuneration as being excessive. </v>
      </c>
      <c r="AQ232" t="s">
        <v>341</v>
      </c>
      <c r="AS232">
        <v>605</v>
      </c>
      <c r="AT232" t="s">
        <v>128</v>
      </c>
      <c r="AU232" t="s">
        <v>127</v>
      </c>
      <c r="AV232">
        <v>4524</v>
      </c>
      <c r="AW232">
        <v>4524</v>
      </c>
      <c r="AX232">
        <v>4524</v>
      </c>
      <c r="AY232">
        <v>0</v>
      </c>
      <c r="AZ232" t="s">
        <v>268</v>
      </c>
      <c r="BB232">
        <v>492095</v>
      </c>
      <c r="BC232" t="s">
        <v>99</v>
      </c>
      <c r="BD232" t="s">
        <v>293</v>
      </c>
      <c r="BE232" t="s">
        <v>268</v>
      </c>
      <c r="BG232" t="s">
        <v>100</v>
      </c>
      <c r="BH232" t="str">
        <f t="shared" si="14"/>
        <v>936387580</v>
      </c>
      <c r="BI232" t="s">
        <v>101</v>
      </c>
      <c r="BJ232" t="s">
        <v>123</v>
      </c>
      <c r="BK232" t="s">
        <v>123</v>
      </c>
      <c r="BL232">
        <v>208587202</v>
      </c>
      <c r="BM232">
        <v>18802786</v>
      </c>
      <c r="BN232">
        <v>559133</v>
      </c>
      <c r="BO232">
        <v>0</v>
      </c>
      <c r="BP232">
        <v>0</v>
      </c>
      <c r="BQ232">
        <v>0</v>
      </c>
      <c r="BR232">
        <v>0</v>
      </c>
      <c r="BS232">
        <v>227949121</v>
      </c>
      <c r="BT232">
        <v>91.51</v>
      </c>
      <c r="BU232">
        <v>8.25</v>
      </c>
      <c r="BV232">
        <v>0.25</v>
      </c>
      <c r="BW232">
        <v>0</v>
      </c>
      <c r="BX232">
        <v>0</v>
      </c>
      <c r="BY232">
        <v>0</v>
      </c>
      <c r="BZ232">
        <v>0</v>
      </c>
    </row>
    <row r="233" spans="1:78">
      <c r="A233" t="s">
        <v>152</v>
      </c>
      <c r="B233" t="s">
        <v>334</v>
      </c>
      <c r="C233" t="s">
        <v>154</v>
      </c>
      <c r="D233" t="s">
        <v>335</v>
      </c>
      <c r="E233">
        <v>13</v>
      </c>
      <c r="F233" t="s">
        <v>336</v>
      </c>
      <c r="G233">
        <v>1448045</v>
      </c>
      <c r="H233">
        <v>1155117</v>
      </c>
      <c r="I233">
        <v>37149173</v>
      </c>
      <c r="J233" t="s">
        <v>337</v>
      </c>
      <c r="K233" t="str">
        <f t="shared" si="13"/>
        <v>00846U101</v>
      </c>
      <c r="L233" t="s">
        <v>338</v>
      </c>
      <c r="M233" t="s">
        <v>339</v>
      </c>
      <c r="N233" t="s">
        <v>110</v>
      </c>
      <c r="O233" t="s">
        <v>111</v>
      </c>
      <c r="P233" t="s">
        <v>111</v>
      </c>
      <c r="Q233" t="s">
        <v>112</v>
      </c>
      <c r="R233" t="s">
        <v>340</v>
      </c>
      <c r="S233" t="s">
        <v>213</v>
      </c>
      <c r="T233" t="s">
        <v>341</v>
      </c>
      <c r="U233">
        <v>6</v>
      </c>
      <c r="V233">
        <v>6</v>
      </c>
      <c r="W233" t="str">
        <f>"3."</f>
        <v>3.</v>
      </c>
      <c r="X233" t="s">
        <v>125</v>
      </c>
      <c r="AA233" t="s">
        <v>94</v>
      </c>
      <c r="AB233" t="s">
        <v>95</v>
      </c>
      <c r="AC233" t="s">
        <v>96</v>
      </c>
      <c r="AD233" t="s">
        <v>95</v>
      </c>
      <c r="AE233" t="s">
        <v>123</v>
      </c>
      <c r="AF233" t="s">
        <v>123</v>
      </c>
      <c r="AN233" t="s">
        <v>123</v>
      </c>
      <c r="AO233" t="str">
        <f>"The auditor's tenure is excessive."</f>
        <v>The auditor's tenure is excessive.</v>
      </c>
      <c r="AP233" t="str">
        <f>"The auditor's tenure is excessive."</f>
        <v>The auditor's tenure is excessive.</v>
      </c>
      <c r="AQ233" t="s">
        <v>341</v>
      </c>
      <c r="AS233">
        <v>200</v>
      </c>
      <c r="AT233" t="s">
        <v>126</v>
      </c>
      <c r="AU233" t="s">
        <v>125</v>
      </c>
      <c r="AV233">
        <v>4524</v>
      </c>
      <c r="AW233">
        <v>4524</v>
      </c>
      <c r="AX233">
        <v>4524</v>
      </c>
      <c r="AY233">
        <v>0</v>
      </c>
      <c r="AZ233" t="s">
        <v>268</v>
      </c>
      <c r="BB233">
        <v>492095</v>
      </c>
      <c r="BC233" t="s">
        <v>99</v>
      </c>
      <c r="BD233" t="s">
        <v>293</v>
      </c>
      <c r="BE233" t="s">
        <v>268</v>
      </c>
      <c r="BG233" t="s">
        <v>100</v>
      </c>
      <c r="BH233" t="str">
        <f t="shared" si="14"/>
        <v>936387580</v>
      </c>
      <c r="BI233" t="s">
        <v>101</v>
      </c>
      <c r="BJ233" t="s">
        <v>102</v>
      </c>
      <c r="BK233" t="s">
        <v>123</v>
      </c>
      <c r="BL233">
        <v>220739641</v>
      </c>
      <c r="BM233">
        <v>29366714</v>
      </c>
      <c r="BN233">
        <v>175431</v>
      </c>
      <c r="BO233">
        <v>0</v>
      </c>
      <c r="BP233">
        <v>0</v>
      </c>
      <c r="BQ233">
        <v>0</v>
      </c>
      <c r="BR233">
        <v>0</v>
      </c>
      <c r="BS233">
        <v>250281786</v>
      </c>
      <c r="BT233">
        <v>88.2</v>
      </c>
      <c r="BU233">
        <v>11.73</v>
      </c>
      <c r="BV233">
        <v>7.0000000000000007E-2</v>
      </c>
      <c r="BW233">
        <v>0</v>
      </c>
      <c r="BX233">
        <v>0</v>
      </c>
      <c r="BY233">
        <v>0</v>
      </c>
      <c r="BZ233">
        <v>0</v>
      </c>
    </row>
    <row r="234" spans="1:78">
      <c r="A234" t="s">
        <v>152</v>
      </c>
      <c r="B234" t="s">
        <v>334</v>
      </c>
      <c r="C234" t="s">
        <v>154</v>
      </c>
      <c r="D234" t="s">
        <v>335</v>
      </c>
      <c r="E234">
        <v>13</v>
      </c>
      <c r="F234" t="s">
        <v>336</v>
      </c>
      <c r="G234">
        <v>1448045</v>
      </c>
      <c r="H234">
        <v>1155117</v>
      </c>
      <c r="I234">
        <v>37149173</v>
      </c>
      <c r="J234" t="s">
        <v>337</v>
      </c>
      <c r="K234" t="str">
        <f t="shared" si="13"/>
        <v>00846U101</v>
      </c>
      <c r="L234" t="s">
        <v>338</v>
      </c>
      <c r="M234" t="s">
        <v>339</v>
      </c>
      <c r="N234" t="s">
        <v>110</v>
      </c>
      <c r="O234" t="s">
        <v>111</v>
      </c>
      <c r="P234" t="s">
        <v>111</v>
      </c>
      <c r="Q234" t="s">
        <v>112</v>
      </c>
      <c r="R234" t="s">
        <v>340</v>
      </c>
      <c r="S234" t="s">
        <v>213</v>
      </c>
      <c r="T234" t="s">
        <v>341</v>
      </c>
      <c r="U234">
        <v>7</v>
      </c>
      <c r="V234">
        <v>7</v>
      </c>
      <c r="W234" t="str">
        <f>"4."</f>
        <v>4.</v>
      </c>
      <c r="X234" t="s">
        <v>346</v>
      </c>
      <c r="AA234" t="s">
        <v>94</v>
      </c>
      <c r="AB234" t="s">
        <v>95</v>
      </c>
      <c r="AC234" t="s">
        <v>96</v>
      </c>
      <c r="AD234" t="s">
        <v>95</v>
      </c>
      <c r="AE234" t="s">
        <v>95</v>
      </c>
      <c r="AF234" t="s">
        <v>95</v>
      </c>
      <c r="AN234" t="s">
        <v>95</v>
      </c>
      <c r="AQ234" t="s">
        <v>341</v>
      </c>
      <c r="AS234">
        <v>1107</v>
      </c>
      <c r="AT234" t="s">
        <v>98</v>
      </c>
      <c r="AU234" t="s">
        <v>346</v>
      </c>
      <c r="AV234">
        <v>4524</v>
      </c>
      <c r="AW234">
        <v>4524</v>
      </c>
      <c r="AX234">
        <v>4524</v>
      </c>
      <c r="AY234">
        <v>0</v>
      </c>
      <c r="AZ234" t="s">
        <v>268</v>
      </c>
      <c r="BB234">
        <v>492095</v>
      </c>
      <c r="BC234" t="s">
        <v>99</v>
      </c>
      <c r="BD234" t="s">
        <v>293</v>
      </c>
      <c r="BE234" t="s">
        <v>268</v>
      </c>
      <c r="BG234" t="s">
        <v>100</v>
      </c>
      <c r="BH234" t="str">
        <f t="shared" si="14"/>
        <v>936387580</v>
      </c>
      <c r="BI234" t="s">
        <v>101</v>
      </c>
      <c r="BJ234" t="s">
        <v>102</v>
      </c>
      <c r="BK234" t="s">
        <v>102</v>
      </c>
      <c r="BL234">
        <v>227305896</v>
      </c>
      <c r="BM234">
        <v>416270</v>
      </c>
      <c r="BN234">
        <v>226910</v>
      </c>
      <c r="BO234">
        <v>0</v>
      </c>
      <c r="BP234">
        <v>0</v>
      </c>
      <c r="BQ234">
        <v>0</v>
      </c>
      <c r="BR234">
        <v>0</v>
      </c>
      <c r="BS234">
        <v>227949076</v>
      </c>
      <c r="BT234">
        <v>99.72</v>
      </c>
      <c r="BU234">
        <v>0.18</v>
      </c>
      <c r="BV234">
        <v>0.1</v>
      </c>
      <c r="BW234">
        <v>0</v>
      </c>
      <c r="BX234">
        <v>0</v>
      </c>
      <c r="BY234">
        <v>0</v>
      </c>
      <c r="BZ234">
        <v>0</v>
      </c>
    </row>
    <row r="235" spans="1:78">
      <c r="A235" t="s">
        <v>205</v>
      </c>
      <c r="B235" t="s">
        <v>334</v>
      </c>
      <c r="C235" t="s">
        <v>154</v>
      </c>
      <c r="D235" t="s">
        <v>335</v>
      </c>
      <c r="E235">
        <v>13</v>
      </c>
      <c r="F235" t="s">
        <v>336</v>
      </c>
      <c r="G235">
        <v>1448045</v>
      </c>
      <c r="H235">
        <v>1155117</v>
      </c>
      <c r="I235">
        <v>37149860</v>
      </c>
      <c r="J235" t="s">
        <v>337</v>
      </c>
      <c r="K235" t="str">
        <f t="shared" si="13"/>
        <v>00846U101</v>
      </c>
      <c r="L235" t="s">
        <v>338</v>
      </c>
      <c r="M235" t="s">
        <v>339</v>
      </c>
      <c r="N235" t="s">
        <v>110</v>
      </c>
      <c r="O235" t="s">
        <v>111</v>
      </c>
      <c r="P235" t="s">
        <v>111</v>
      </c>
      <c r="Q235" t="s">
        <v>112</v>
      </c>
      <c r="R235" t="s">
        <v>340</v>
      </c>
      <c r="S235" t="s">
        <v>213</v>
      </c>
      <c r="T235" t="s">
        <v>341</v>
      </c>
      <c r="U235">
        <v>1</v>
      </c>
      <c r="V235">
        <v>1</v>
      </c>
      <c r="W235" t="str">
        <f>"1.1"</f>
        <v>1.1</v>
      </c>
      <c r="X235" t="s">
        <v>342</v>
      </c>
      <c r="Y235">
        <v>3531887</v>
      </c>
      <c r="Z235">
        <v>219455</v>
      </c>
      <c r="AA235" t="s">
        <v>94</v>
      </c>
      <c r="AB235" t="s">
        <v>95</v>
      </c>
      <c r="AC235" t="s">
        <v>96</v>
      </c>
      <c r="AD235" t="s">
        <v>95</v>
      </c>
      <c r="AE235" t="s">
        <v>95</v>
      </c>
      <c r="AF235" t="s">
        <v>95</v>
      </c>
      <c r="AN235" t="s">
        <v>95</v>
      </c>
      <c r="AQ235" t="s">
        <v>341</v>
      </c>
      <c r="AS235">
        <v>100</v>
      </c>
      <c r="AT235" t="s">
        <v>117</v>
      </c>
      <c r="AU235" t="s">
        <v>118</v>
      </c>
      <c r="AV235">
        <v>4910</v>
      </c>
      <c r="AW235">
        <v>4910</v>
      </c>
      <c r="AX235">
        <v>4910</v>
      </c>
      <c r="AY235">
        <v>0</v>
      </c>
      <c r="AZ235" t="s">
        <v>268</v>
      </c>
      <c r="BB235">
        <v>492095</v>
      </c>
      <c r="BC235" t="s">
        <v>99</v>
      </c>
      <c r="BD235" t="s">
        <v>293</v>
      </c>
      <c r="BE235" t="s">
        <v>268</v>
      </c>
      <c r="BG235" t="s">
        <v>100</v>
      </c>
      <c r="BH235" t="str">
        <f t="shared" si="14"/>
        <v>936387580</v>
      </c>
      <c r="BI235" t="s">
        <v>101</v>
      </c>
      <c r="BJ235" t="s">
        <v>102</v>
      </c>
      <c r="BK235" t="s">
        <v>102</v>
      </c>
      <c r="BL235">
        <v>227166748</v>
      </c>
      <c r="BM235">
        <v>570646</v>
      </c>
      <c r="BN235">
        <v>211727</v>
      </c>
      <c r="BO235">
        <v>0</v>
      </c>
      <c r="BP235">
        <v>0</v>
      </c>
      <c r="BQ235">
        <v>0</v>
      </c>
      <c r="BR235">
        <v>0</v>
      </c>
      <c r="BS235">
        <v>227949121</v>
      </c>
      <c r="BT235">
        <v>99.66</v>
      </c>
      <c r="BU235">
        <v>0.25</v>
      </c>
      <c r="BV235">
        <v>0.09</v>
      </c>
      <c r="BW235">
        <v>0</v>
      </c>
      <c r="BX235">
        <v>0</v>
      </c>
      <c r="BY235">
        <v>0</v>
      </c>
      <c r="BZ235">
        <v>0</v>
      </c>
    </row>
    <row r="236" spans="1:78">
      <c r="A236" t="s">
        <v>205</v>
      </c>
      <c r="B236" t="s">
        <v>334</v>
      </c>
      <c r="C236" t="s">
        <v>154</v>
      </c>
      <c r="D236" t="s">
        <v>335</v>
      </c>
      <c r="E236">
        <v>13</v>
      </c>
      <c r="F236" t="s">
        <v>336</v>
      </c>
      <c r="G236">
        <v>1448045</v>
      </c>
      <c r="H236">
        <v>1155117</v>
      </c>
      <c r="I236">
        <v>37149860</v>
      </c>
      <c r="J236" t="s">
        <v>337</v>
      </c>
      <c r="K236" t="str">
        <f t="shared" si="13"/>
        <v>00846U101</v>
      </c>
      <c r="L236" t="s">
        <v>338</v>
      </c>
      <c r="M236" t="s">
        <v>339</v>
      </c>
      <c r="N236" t="s">
        <v>110</v>
      </c>
      <c r="O236" t="s">
        <v>111</v>
      </c>
      <c r="P236" t="s">
        <v>111</v>
      </c>
      <c r="Q236" t="s">
        <v>112</v>
      </c>
      <c r="R236" t="s">
        <v>340</v>
      </c>
      <c r="S236" t="s">
        <v>213</v>
      </c>
      <c r="T236" t="s">
        <v>341</v>
      </c>
      <c r="U236">
        <v>2</v>
      </c>
      <c r="V236">
        <v>2</v>
      </c>
      <c r="W236" t="str">
        <f>"1.2"</f>
        <v>1.2</v>
      </c>
      <c r="X236" t="s">
        <v>343</v>
      </c>
      <c r="Y236">
        <v>3531825</v>
      </c>
      <c r="Z236">
        <v>405443</v>
      </c>
      <c r="AA236" t="s">
        <v>94</v>
      </c>
      <c r="AB236" t="s">
        <v>95</v>
      </c>
      <c r="AC236" t="s">
        <v>96</v>
      </c>
      <c r="AD236" t="s">
        <v>95</v>
      </c>
      <c r="AE236" t="s">
        <v>95</v>
      </c>
      <c r="AF236" t="s">
        <v>95</v>
      </c>
      <c r="AN236" t="s">
        <v>95</v>
      </c>
      <c r="AQ236" t="s">
        <v>341</v>
      </c>
      <c r="AS236">
        <v>100</v>
      </c>
      <c r="AT236" t="s">
        <v>117</v>
      </c>
      <c r="AU236" t="s">
        <v>118</v>
      </c>
      <c r="AV236">
        <v>4910</v>
      </c>
      <c r="AW236">
        <v>4910</v>
      </c>
      <c r="AX236">
        <v>4910</v>
      </c>
      <c r="AY236">
        <v>0</v>
      </c>
      <c r="AZ236" t="s">
        <v>268</v>
      </c>
      <c r="BB236">
        <v>492095</v>
      </c>
      <c r="BC236" t="s">
        <v>99</v>
      </c>
      <c r="BD236" t="s">
        <v>293</v>
      </c>
      <c r="BE236" t="s">
        <v>268</v>
      </c>
      <c r="BG236" t="s">
        <v>100</v>
      </c>
      <c r="BH236" t="str">
        <f t="shared" si="14"/>
        <v>936387580</v>
      </c>
      <c r="BI236" t="s">
        <v>101</v>
      </c>
      <c r="BJ236" t="s">
        <v>102</v>
      </c>
      <c r="BK236" t="s">
        <v>102</v>
      </c>
      <c r="BL236">
        <v>225415342</v>
      </c>
      <c r="BM236">
        <v>2401243</v>
      </c>
      <c r="BN236">
        <v>132536</v>
      </c>
      <c r="BO236">
        <v>0</v>
      </c>
      <c r="BP236">
        <v>0</v>
      </c>
      <c r="BQ236">
        <v>0</v>
      </c>
      <c r="BR236">
        <v>0</v>
      </c>
      <c r="BS236">
        <v>227949121</v>
      </c>
      <c r="BT236">
        <v>98.89</v>
      </c>
      <c r="BU236">
        <v>1.05</v>
      </c>
      <c r="BV236">
        <v>0.06</v>
      </c>
      <c r="BW236">
        <v>0</v>
      </c>
      <c r="BX236">
        <v>0</v>
      </c>
      <c r="BY236">
        <v>0</v>
      </c>
      <c r="BZ236">
        <v>0</v>
      </c>
    </row>
    <row r="237" spans="1:78">
      <c r="A237" t="s">
        <v>205</v>
      </c>
      <c r="B237" t="s">
        <v>334</v>
      </c>
      <c r="C237" t="s">
        <v>154</v>
      </c>
      <c r="D237" t="s">
        <v>335</v>
      </c>
      <c r="E237">
        <v>13</v>
      </c>
      <c r="F237" t="s">
        <v>336</v>
      </c>
      <c r="G237">
        <v>1448045</v>
      </c>
      <c r="H237">
        <v>1155117</v>
      </c>
      <c r="I237">
        <v>37149860</v>
      </c>
      <c r="J237" t="s">
        <v>337</v>
      </c>
      <c r="K237" t="str">
        <f t="shared" si="13"/>
        <v>00846U101</v>
      </c>
      <c r="L237" t="s">
        <v>338</v>
      </c>
      <c r="M237" t="s">
        <v>339</v>
      </c>
      <c r="N237" t="s">
        <v>110</v>
      </c>
      <c r="O237" t="s">
        <v>111</v>
      </c>
      <c r="P237" t="s">
        <v>111</v>
      </c>
      <c r="Q237" t="s">
        <v>112</v>
      </c>
      <c r="R237" t="s">
        <v>340</v>
      </c>
      <c r="S237" t="s">
        <v>213</v>
      </c>
      <c r="T237" t="s">
        <v>341</v>
      </c>
      <c r="U237">
        <v>3</v>
      </c>
      <c r="V237">
        <v>3</v>
      </c>
      <c r="W237" t="str">
        <f>"1.3"</f>
        <v>1.3</v>
      </c>
      <c r="X237" t="s">
        <v>344</v>
      </c>
      <c r="Y237">
        <v>3531821</v>
      </c>
      <c r="Z237">
        <v>87579</v>
      </c>
      <c r="AA237" t="s">
        <v>94</v>
      </c>
      <c r="AB237" t="s">
        <v>95</v>
      </c>
      <c r="AC237" t="s">
        <v>96</v>
      </c>
      <c r="AD237" t="s">
        <v>95</v>
      </c>
      <c r="AE237" t="s">
        <v>123</v>
      </c>
      <c r="AF237" t="s">
        <v>123</v>
      </c>
      <c r="AN237" t="s">
        <v>123</v>
      </c>
      <c r="AO237" t="str">
        <f>"1. Inadequate remuneration incentive linked to ESG criteria. 2. We view the executive's remuneration as being excessive"</f>
        <v>1. Inadequate remuneration incentive linked to ESG criteria. 2. We view the executive's remuneration as being excessive</v>
      </c>
      <c r="AP237" t="str">
        <f>"There is insufficient female representation on the board of directors."</f>
        <v>There is insufficient female representation on the board of directors.</v>
      </c>
      <c r="AQ237" t="s">
        <v>341</v>
      </c>
      <c r="AS237">
        <v>100</v>
      </c>
      <c r="AT237" t="s">
        <v>117</v>
      </c>
      <c r="AU237" t="s">
        <v>118</v>
      </c>
      <c r="AV237">
        <v>4910</v>
      </c>
      <c r="AW237">
        <v>4910</v>
      </c>
      <c r="AX237">
        <v>4910</v>
      </c>
      <c r="AY237">
        <v>0</v>
      </c>
      <c r="AZ237" t="s">
        <v>268</v>
      </c>
      <c r="BB237">
        <v>492095</v>
      </c>
      <c r="BC237" t="s">
        <v>99</v>
      </c>
      <c r="BD237" t="s">
        <v>293</v>
      </c>
      <c r="BE237" t="s">
        <v>268</v>
      </c>
      <c r="BG237" t="s">
        <v>100</v>
      </c>
      <c r="BH237" t="str">
        <f t="shared" si="14"/>
        <v>936387580</v>
      </c>
      <c r="BI237" t="s">
        <v>101</v>
      </c>
      <c r="BJ237" t="s">
        <v>102</v>
      </c>
      <c r="BK237" t="s">
        <v>123</v>
      </c>
      <c r="BL237">
        <v>196677563</v>
      </c>
      <c r="BM237">
        <v>28634515</v>
      </c>
      <c r="BN237">
        <v>2637043</v>
      </c>
      <c r="BO237">
        <v>0</v>
      </c>
      <c r="BP237">
        <v>0</v>
      </c>
      <c r="BQ237">
        <v>0</v>
      </c>
      <c r="BR237">
        <v>0</v>
      </c>
      <c r="BS237">
        <v>227949121</v>
      </c>
      <c r="BT237">
        <v>86.28</v>
      </c>
      <c r="BU237">
        <v>12.56</v>
      </c>
      <c r="BV237">
        <v>1.1599999999999999</v>
      </c>
      <c r="BW237">
        <v>0</v>
      </c>
      <c r="BX237">
        <v>0</v>
      </c>
      <c r="BY237">
        <v>0</v>
      </c>
      <c r="BZ237">
        <v>0</v>
      </c>
    </row>
    <row r="238" spans="1:78">
      <c r="A238" t="s">
        <v>205</v>
      </c>
      <c r="B238" t="s">
        <v>334</v>
      </c>
      <c r="C238" t="s">
        <v>154</v>
      </c>
      <c r="D238" t="s">
        <v>335</v>
      </c>
      <c r="E238">
        <v>13</v>
      </c>
      <c r="F238" t="s">
        <v>336</v>
      </c>
      <c r="G238">
        <v>1448045</v>
      </c>
      <c r="H238">
        <v>1155117</v>
      </c>
      <c r="I238">
        <v>37149860</v>
      </c>
      <c r="J238" t="s">
        <v>337</v>
      </c>
      <c r="K238" t="str">
        <f t="shared" si="13"/>
        <v>00846U101</v>
      </c>
      <c r="L238" t="s">
        <v>338</v>
      </c>
      <c r="M238" t="s">
        <v>339</v>
      </c>
      <c r="N238" t="s">
        <v>110</v>
      </c>
      <c r="O238" t="s">
        <v>111</v>
      </c>
      <c r="P238" t="s">
        <v>111</v>
      </c>
      <c r="Q238" t="s">
        <v>112</v>
      </c>
      <c r="R238" t="s">
        <v>340</v>
      </c>
      <c r="S238" t="s">
        <v>213</v>
      </c>
      <c r="T238" t="s">
        <v>341</v>
      </c>
      <c r="U238">
        <v>4</v>
      </c>
      <c r="V238">
        <v>4</v>
      </c>
      <c r="W238" t="str">
        <f>"1.4"</f>
        <v>1.4</v>
      </c>
      <c r="X238" t="s">
        <v>345</v>
      </c>
      <c r="Y238">
        <v>3531823</v>
      </c>
      <c r="Z238">
        <v>169539</v>
      </c>
      <c r="AA238" t="s">
        <v>94</v>
      </c>
      <c r="AB238" t="s">
        <v>95</v>
      </c>
      <c r="AC238" t="s">
        <v>96</v>
      </c>
      <c r="AD238" t="s">
        <v>95</v>
      </c>
      <c r="AE238" t="s">
        <v>95</v>
      </c>
      <c r="AF238" t="s">
        <v>123</v>
      </c>
      <c r="AN238" t="s">
        <v>123</v>
      </c>
      <c r="AO238" t="str">
        <f>"1. Auditor tenure too long 2. Both nomination and governance committees lack majority independence as 2 out of 3 directors  have served the company for over 10 years. 3. Inadequate gender diversity on the board"</f>
        <v>1. Auditor tenure too long 2. Both nomination and governance committees lack majority independence as 2 out of 3 directors  have served the company for over 10 years. 3. Inadequate gender diversity on the board</v>
      </c>
      <c r="AQ238" t="s">
        <v>341</v>
      </c>
      <c r="AS238">
        <v>100</v>
      </c>
      <c r="AT238" t="s">
        <v>117</v>
      </c>
      <c r="AU238" t="s">
        <v>118</v>
      </c>
      <c r="AV238">
        <v>4910</v>
      </c>
      <c r="AW238">
        <v>4910</v>
      </c>
      <c r="AX238">
        <v>4910</v>
      </c>
      <c r="AY238">
        <v>0</v>
      </c>
      <c r="AZ238" t="s">
        <v>268</v>
      </c>
      <c r="BB238">
        <v>492095</v>
      </c>
      <c r="BC238" t="s">
        <v>99</v>
      </c>
      <c r="BD238" t="s">
        <v>293</v>
      </c>
      <c r="BE238" t="s">
        <v>268</v>
      </c>
      <c r="BG238" t="s">
        <v>100</v>
      </c>
      <c r="BH238" t="str">
        <f t="shared" si="14"/>
        <v>936387580</v>
      </c>
      <c r="BI238" t="s">
        <v>101</v>
      </c>
      <c r="BJ238" t="s">
        <v>123</v>
      </c>
      <c r="BK238" t="s">
        <v>123</v>
      </c>
      <c r="BL238">
        <v>211983917</v>
      </c>
      <c r="BM238">
        <v>15445195</v>
      </c>
      <c r="BN238">
        <v>520009</v>
      </c>
      <c r="BO238">
        <v>0</v>
      </c>
      <c r="BP238">
        <v>0</v>
      </c>
      <c r="BQ238">
        <v>0</v>
      </c>
      <c r="BR238">
        <v>0</v>
      </c>
      <c r="BS238">
        <v>227949121</v>
      </c>
      <c r="BT238">
        <v>93</v>
      </c>
      <c r="BU238">
        <v>6.78</v>
      </c>
      <c r="BV238">
        <v>0.23</v>
      </c>
      <c r="BW238">
        <v>0</v>
      </c>
      <c r="BX238">
        <v>0</v>
      </c>
      <c r="BY238">
        <v>0</v>
      </c>
      <c r="BZ238">
        <v>0</v>
      </c>
    </row>
    <row r="239" spans="1:78">
      <c r="A239" t="s">
        <v>205</v>
      </c>
      <c r="B239" t="s">
        <v>334</v>
      </c>
      <c r="C239" t="s">
        <v>154</v>
      </c>
      <c r="D239" t="s">
        <v>335</v>
      </c>
      <c r="E239">
        <v>13</v>
      </c>
      <c r="F239" t="s">
        <v>336</v>
      </c>
      <c r="G239">
        <v>1448045</v>
      </c>
      <c r="H239">
        <v>1155117</v>
      </c>
      <c r="I239">
        <v>37149860</v>
      </c>
      <c r="J239" t="s">
        <v>337</v>
      </c>
      <c r="K239" t="str">
        <f t="shared" si="13"/>
        <v>00846U101</v>
      </c>
      <c r="L239" t="s">
        <v>338</v>
      </c>
      <c r="M239" t="s">
        <v>339</v>
      </c>
      <c r="N239" t="s">
        <v>110</v>
      </c>
      <c r="O239" t="s">
        <v>111</v>
      </c>
      <c r="P239" t="s">
        <v>111</v>
      </c>
      <c r="Q239" t="s">
        <v>112</v>
      </c>
      <c r="R239" t="s">
        <v>340</v>
      </c>
      <c r="S239" t="s">
        <v>213</v>
      </c>
      <c r="T239" t="s">
        <v>341</v>
      </c>
      <c r="U239">
        <v>5</v>
      </c>
      <c r="V239">
        <v>5</v>
      </c>
      <c r="W239" t="str">
        <f>"2."</f>
        <v>2.</v>
      </c>
      <c r="X239" t="s">
        <v>127</v>
      </c>
      <c r="AA239" t="s">
        <v>94</v>
      </c>
      <c r="AB239" t="s">
        <v>95</v>
      </c>
      <c r="AC239" t="s">
        <v>96</v>
      </c>
      <c r="AD239" t="s">
        <v>95</v>
      </c>
      <c r="AE239" t="s">
        <v>95</v>
      </c>
      <c r="AF239" t="s">
        <v>123</v>
      </c>
      <c r="AN239" t="s">
        <v>123</v>
      </c>
      <c r="AO239" t="str">
        <f>"1. Inadequate remuneration incentive linked to ESG criteria. 2. We view the executive's remuneration as being excessive. "</f>
        <v xml:space="preserve">1. Inadequate remuneration incentive linked to ESG criteria. 2. We view the executive's remuneration as being excessive. </v>
      </c>
      <c r="AQ239" t="s">
        <v>341</v>
      </c>
      <c r="AS239">
        <v>605</v>
      </c>
      <c r="AT239" t="s">
        <v>128</v>
      </c>
      <c r="AU239" t="s">
        <v>127</v>
      </c>
      <c r="AV239">
        <v>4910</v>
      </c>
      <c r="AW239">
        <v>4910</v>
      </c>
      <c r="AX239">
        <v>4910</v>
      </c>
      <c r="AY239">
        <v>0</v>
      </c>
      <c r="AZ239" t="s">
        <v>268</v>
      </c>
      <c r="BB239">
        <v>492095</v>
      </c>
      <c r="BC239" t="s">
        <v>99</v>
      </c>
      <c r="BD239" t="s">
        <v>293</v>
      </c>
      <c r="BE239" t="s">
        <v>268</v>
      </c>
      <c r="BG239" t="s">
        <v>100</v>
      </c>
      <c r="BH239" t="str">
        <f t="shared" si="14"/>
        <v>936387580</v>
      </c>
      <c r="BI239" t="s">
        <v>101</v>
      </c>
      <c r="BJ239" t="s">
        <v>123</v>
      </c>
      <c r="BK239" t="s">
        <v>123</v>
      </c>
      <c r="BL239">
        <v>208587202</v>
      </c>
      <c r="BM239">
        <v>18802786</v>
      </c>
      <c r="BN239">
        <v>559133</v>
      </c>
      <c r="BO239">
        <v>0</v>
      </c>
      <c r="BP239">
        <v>0</v>
      </c>
      <c r="BQ239">
        <v>0</v>
      </c>
      <c r="BR239">
        <v>0</v>
      </c>
      <c r="BS239">
        <v>227949121</v>
      </c>
      <c r="BT239">
        <v>91.51</v>
      </c>
      <c r="BU239">
        <v>8.25</v>
      </c>
      <c r="BV239">
        <v>0.25</v>
      </c>
      <c r="BW239">
        <v>0</v>
      </c>
      <c r="BX239">
        <v>0</v>
      </c>
      <c r="BY239">
        <v>0</v>
      </c>
      <c r="BZ239">
        <v>0</v>
      </c>
    </row>
    <row r="240" spans="1:78">
      <c r="A240" t="s">
        <v>205</v>
      </c>
      <c r="B240" t="s">
        <v>334</v>
      </c>
      <c r="C240" t="s">
        <v>154</v>
      </c>
      <c r="D240" t="s">
        <v>335</v>
      </c>
      <c r="E240">
        <v>13</v>
      </c>
      <c r="F240" t="s">
        <v>336</v>
      </c>
      <c r="G240">
        <v>1448045</v>
      </c>
      <c r="H240">
        <v>1155117</v>
      </c>
      <c r="I240">
        <v>37149860</v>
      </c>
      <c r="J240" t="s">
        <v>337</v>
      </c>
      <c r="K240" t="str">
        <f t="shared" si="13"/>
        <v>00846U101</v>
      </c>
      <c r="L240" t="s">
        <v>338</v>
      </c>
      <c r="M240" t="s">
        <v>339</v>
      </c>
      <c r="N240" t="s">
        <v>110</v>
      </c>
      <c r="O240" t="s">
        <v>111</v>
      </c>
      <c r="P240" t="s">
        <v>111</v>
      </c>
      <c r="Q240" t="s">
        <v>112</v>
      </c>
      <c r="R240" t="s">
        <v>340</v>
      </c>
      <c r="S240" t="s">
        <v>213</v>
      </c>
      <c r="T240" t="s">
        <v>341</v>
      </c>
      <c r="U240">
        <v>6</v>
      </c>
      <c r="V240">
        <v>6</v>
      </c>
      <c r="W240" t="str">
        <f>"3."</f>
        <v>3.</v>
      </c>
      <c r="X240" t="s">
        <v>125</v>
      </c>
      <c r="AA240" t="s">
        <v>94</v>
      </c>
      <c r="AB240" t="s">
        <v>95</v>
      </c>
      <c r="AC240" t="s">
        <v>96</v>
      </c>
      <c r="AD240" t="s">
        <v>95</v>
      </c>
      <c r="AE240" t="s">
        <v>123</v>
      </c>
      <c r="AF240" t="s">
        <v>123</v>
      </c>
      <c r="AN240" t="s">
        <v>123</v>
      </c>
      <c r="AO240" t="str">
        <f>"The auditor's tenure is excessive."</f>
        <v>The auditor's tenure is excessive.</v>
      </c>
      <c r="AP240" t="str">
        <f>"The auditor's tenure is excessive."</f>
        <v>The auditor's tenure is excessive.</v>
      </c>
      <c r="AQ240" t="s">
        <v>341</v>
      </c>
      <c r="AS240">
        <v>200</v>
      </c>
      <c r="AT240" t="s">
        <v>126</v>
      </c>
      <c r="AU240" t="s">
        <v>125</v>
      </c>
      <c r="AV240">
        <v>4910</v>
      </c>
      <c r="AW240">
        <v>4910</v>
      </c>
      <c r="AX240">
        <v>4910</v>
      </c>
      <c r="AY240">
        <v>0</v>
      </c>
      <c r="AZ240" t="s">
        <v>268</v>
      </c>
      <c r="BB240">
        <v>492095</v>
      </c>
      <c r="BC240" t="s">
        <v>99</v>
      </c>
      <c r="BD240" t="s">
        <v>293</v>
      </c>
      <c r="BE240" t="s">
        <v>268</v>
      </c>
      <c r="BG240" t="s">
        <v>100</v>
      </c>
      <c r="BH240" t="str">
        <f t="shared" si="14"/>
        <v>936387580</v>
      </c>
      <c r="BI240" t="s">
        <v>101</v>
      </c>
      <c r="BJ240" t="s">
        <v>102</v>
      </c>
      <c r="BK240" t="s">
        <v>123</v>
      </c>
      <c r="BL240">
        <v>220739641</v>
      </c>
      <c r="BM240">
        <v>29366714</v>
      </c>
      <c r="BN240">
        <v>175431</v>
      </c>
      <c r="BO240">
        <v>0</v>
      </c>
      <c r="BP240">
        <v>0</v>
      </c>
      <c r="BQ240">
        <v>0</v>
      </c>
      <c r="BR240">
        <v>0</v>
      </c>
      <c r="BS240">
        <v>250281786</v>
      </c>
      <c r="BT240">
        <v>88.2</v>
      </c>
      <c r="BU240">
        <v>11.73</v>
      </c>
      <c r="BV240">
        <v>7.0000000000000007E-2</v>
      </c>
      <c r="BW240">
        <v>0</v>
      </c>
      <c r="BX240">
        <v>0</v>
      </c>
      <c r="BY240">
        <v>0</v>
      </c>
      <c r="BZ240">
        <v>0</v>
      </c>
    </row>
    <row r="241" spans="1:78">
      <c r="A241" t="s">
        <v>205</v>
      </c>
      <c r="B241" t="s">
        <v>334</v>
      </c>
      <c r="C241" t="s">
        <v>154</v>
      </c>
      <c r="D241" t="s">
        <v>335</v>
      </c>
      <c r="E241">
        <v>13</v>
      </c>
      <c r="F241" t="s">
        <v>336</v>
      </c>
      <c r="G241">
        <v>1448045</v>
      </c>
      <c r="H241">
        <v>1155117</v>
      </c>
      <c r="I241">
        <v>37149860</v>
      </c>
      <c r="J241" t="s">
        <v>337</v>
      </c>
      <c r="K241" t="str">
        <f t="shared" si="13"/>
        <v>00846U101</v>
      </c>
      <c r="L241" t="s">
        <v>338</v>
      </c>
      <c r="M241" t="s">
        <v>339</v>
      </c>
      <c r="N241" t="s">
        <v>110</v>
      </c>
      <c r="O241" t="s">
        <v>111</v>
      </c>
      <c r="P241" t="s">
        <v>111</v>
      </c>
      <c r="Q241" t="s">
        <v>112</v>
      </c>
      <c r="R241" t="s">
        <v>340</v>
      </c>
      <c r="S241" t="s">
        <v>213</v>
      </c>
      <c r="T241" t="s">
        <v>341</v>
      </c>
      <c r="U241">
        <v>7</v>
      </c>
      <c r="V241">
        <v>7</v>
      </c>
      <c r="W241" t="str">
        <f>"4."</f>
        <v>4.</v>
      </c>
      <c r="X241" t="s">
        <v>346</v>
      </c>
      <c r="AA241" t="s">
        <v>94</v>
      </c>
      <c r="AB241" t="s">
        <v>95</v>
      </c>
      <c r="AC241" t="s">
        <v>96</v>
      </c>
      <c r="AD241" t="s">
        <v>95</v>
      </c>
      <c r="AE241" t="s">
        <v>95</v>
      </c>
      <c r="AF241" t="s">
        <v>95</v>
      </c>
      <c r="AN241" t="s">
        <v>95</v>
      </c>
      <c r="AQ241" t="s">
        <v>341</v>
      </c>
      <c r="AS241">
        <v>1107</v>
      </c>
      <c r="AT241" t="s">
        <v>98</v>
      </c>
      <c r="AU241" t="s">
        <v>346</v>
      </c>
      <c r="AV241">
        <v>4910</v>
      </c>
      <c r="AW241">
        <v>4910</v>
      </c>
      <c r="AX241">
        <v>4910</v>
      </c>
      <c r="AY241">
        <v>0</v>
      </c>
      <c r="AZ241" t="s">
        <v>268</v>
      </c>
      <c r="BB241">
        <v>492095</v>
      </c>
      <c r="BC241" t="s">
        <v>99</v>
      </c>
      <c r="BD241" t="s">
        <v>293</v>
      </c>
      <c r="BE241" t="s">
        <v>268</v>
      </c>
      <c r="BG241" t="s">
        <v>100</v>
      </c>
      <c r="BH241" t="str">
        <f t="shared" si="14"/>
        <v>936387580</v>
      </c>
      <c r="BI241" t="s">
        <v>101</v>
      </c>
      <c r="BJ241" t="s">
        <v>102</v>
      </c>
      <c r="BK241" t="s">
        <v>102</v>
      </c>
      <c r="BL241">
        <v>227305896</v>
      </c>
      <c r="BM241">
        <v>416270</v>
      </c>
      <c r="BN241">
        <v>226910</v>
      </c>
      <c r="BO241">
        <v>0</v>
      </c>
      <c r="BP241">
        <v>0</v>
      </c>
      <c r="BQ241">
        <v>0</v>
      </c>
      <c r="BR241">
        <v>0</v>
      </c>
      <c r="BS241">
        <v>227949076</v>
      </c>
      <c r="BT241">
        <v>99.72</v>
      </c>
      <c r="BU241">
        <v>0.18</v>
      </c>
      <c r="BV241">
        <v>0.1</v>
      </c>
      <c r="BW241">
        <v>0</v>
      </c>
      <c r="BX241">
        <v>0</v>
      </c>
      <c r="BY241">
        <v>0</v>
      </c>
      <c r="BZ241">
        <v>0</v>
      </c>
    </row>
    <row r="242" spans="1:78">
      <c r="A242" t="s">
        <v>80</v>
      </c>
      <c r="B242" t="s">
        <v>81</v>
      </c>
      <c r="C242" t="s">
        <v>82</v>
      </c>
      <c r="D242" t="s">
        <v>347</v>
      </c>
      <c r="E242">
        <v>47324</v>
      </c>
      <c r="F242" t="s">
        <v>348</v>
      </c>
      <c r="G242">
        <v>1468577</v>
      </c>
      <c r="H242">
        <v>1164418</v>
      </c>
      <c r="I242">
        <v>37266167</v>
      </c>
      <c r="J242">
        <v>443131</v>
      </c>
      <c r="L242" t="s">
        <v>349</v>
      </c>
      <c r="M242" t="s">
        <v>350</v>
      </c>
      <c r="N242" t="s">
        <v>87</v>
      </c>
      <c r="O242" t="s">
        <v>89</v>
      </c>
      <c r="P242" t="s">
        <v>89</v>
      </c>
      <c r="Q242" t="s">
        <v>351</v>
      </c>
      <c r="R242" t="s">
        <v>340</v>
      </c>
      <c r="T242" s="1">
        <v>46298</v>
      </c>
      <c r="U242">
        <v>1</v>
      </c>
      <c r="V242">
        <v>1</v>
      </c>
      <c r="W242" t="str">
        <f>"1"</f>
        <v>1</v>
      </c>
      <c r="X242" t="s">
        <v>352</v>
      </c>
      <c r="AA242" t="s">
        <v>94</v>
      </c>
      <c r="AB242" t="s">
        <v>95</v>
      </c>
      <c r="AC242" t="s">
        <v>96</v>
      </c>
      <c r="AD242" t="s">
        <v>95</v>
      </c>
      <c r="AE242" t="s">
        <v>95</v>
      </c>
      <c r="AF242" t="s">
        <v>95</v>
      </c>
      <c r="AN242" t="s">
        <v>95</v>
      </c>
      <c r="AQ242" t="s">
        <v>353</v>
      </c>
      <c r="AS242">
        <v>5010</v>
      </c>
      <c r="AT242" t="s">
        <v>126</v>
      </c>
      <c r="AU242" t="s">
        <v>354</v>
      </c>
      <c r="AV242">
        <v>2329667</v>
      </c>
      <c r="AW242">
        <v>2329667</v>
      </c>
      <c r="AY242">
        <v>0</v>
      </c>
      <c r="AZ242" t="s">
        <v>355</v>
      </c>
      <c r="BB242">
        <v>506596</v>
      </c>
      <c r="BC242" t="s">
        <v>99</v>
      </c>
      <c r="BD242" t="s">
        <v>268</v>
      </c>
      <c r="BE242" t="s">
        <v>290</v>
      </c>
      <c r="BG242" t="s">
        <v>100</v>
      </c>
      <c r="BH242" t="str">
        <f>"720934531"</f>
        <v>720934531</v>
      </c>
      <c r="BI242" t="s">
        <v>101</v>
      </c>
      <c r="BJ242" t="s">
        <v>102</v>
      </c>
      <c r="BK242" t="s">
        <v>102</v>
      </c>
      <c r="BL242">
        <v>270688445</v>
      </c>
      <c r="BM242">
        <v>152067</v>
      </c>
      <c r="BN242">
        <v>0</v>
      </c>
      <c r="BO242">
        <v>35978</v>
      </c>
      <c r="BP242">
        <v>0</v>
      </c>
      <c r="BQ242">
        <v>0</v>
      </c>
      <c r="BR242">
        <v>0</v>
      </c>
      <c r="BS242">
        <v>270876490</v>
      </c>
      <c r="BT242">
        <v>99.93</v>
      </c>
      <c r="BU242">
        <v>0.06</v>
      </c>
      <c r="BV242">
        <v>0</v>
      </c>
      <c r="BW242">
        <v>0.01</v>
      </c>
      <c r="BX242">
        <v>0</v>
      </c>
      <c r="BY242">
        <v>0</v>
      </c>
      <c r="BZ242">
        <v>0</v>
      </c>
    </row>
    <row r="243" spans="1:78">
      <c r="A243" t="s">
        <v>80</v>
      </c>
      <c r="B243" t="s">
        <v>81</v>
      </c>
      <c r="C243" t="s">
        <v>82</v>
      </c>
      <c r="D243" t="s">
        <v>347</v>
      </c>
      <c r="E243">
        <v>47324</v>
      </c>
      <c r="F243" t="s">
        <v>348</v>
      </c>
      <c r="G243">
        <v>1468577</v>
      </c>
      <c r="H243">
        <v>1164418</v>
      </c>
      <c r="I243">
        <v>37266167</v>
      </c>
      <c r="J243">
        <v>443131</v>
      </c>
      <c r="L243" t="s">
        <v>349</v>
      </c>
      <c r="M243" t="s">
        <v>350</v>
      </c>
      <c r="N243" t="s">
        <v>87</v>
      </c>
      <c r="O243" t="s">
        <v>89</v>
      </c>
      <c r="P243" t="s">
        <v>89</v>
      </c>
      <c r="Q243" t="s">
        <v>351</v>
      </c>
      <c r="R243" t="s">
        <v>340</v>
      </c>
      <c r="T243" s="1">
        <v>46298</v>
      </c>
      <c r="U243">
        <v>2</v>
      </c>
      <c r="V243">
        <v>2</v>
      </c>
      <c r="W243" t="str">
        <f>"2"</f>
        <v>2</v>
      </c>
      <c r="X243" t="s">
        <v>93</v>
      </c>
      <c r="AA243" t="s">
        <v>94</v>
      </c>
      <c r="AB243" t="s">
        <v>95</v>
      </c>
      <c r="AC243" t="s">
        <v>96</v>
      </c>
      <c r="AD243" t="s">
        <v>95</v>
      </c>
      <c r="AE243" t="s">
        <v>95</v>
      </c>
      <c r="AF243" t="s">
        <v>95</v>
      </c>
      <c r="AN243" t="s">
        <v>95</v>
      </c>
      <c r="AQ243" t="s">
        <v>353</v>
      </c>
      <c r="AS243">
        <v>6101</v>
      </c>
      <c r="AT243" t="s">
        <v>98</v>
      </c>
      <c r="AU243" t="s">
        <v>93</v>
      </c>
      <c r="AV243">
        <v>2329667</v>
      </c>
      <c r="AW243">
        <v>2329667</v>
      </c>
      <c r="AY243">
        <v>0</v>
      </c>
      <c r="AZ243" t="s">
        <v>355</v>
      </c>
      <c r="BB243">
        <v>506596</v>
      </c>
      <c r="BC243" t="s">
        <v>99</v>
      </c>
      <c r="BD243" t="s">
        <v>268</v>
      </c>
      <c r="BE243" t="s">
        <v>290</v>
      </c>
      <c r="BG243" t="s">
        <v>100</v>
      </c>
      <c r="BH243" t="str">
        <f>"720934531"</f>
        <v>720934531</v>
      </c>
      <c r="BI243" t="s">
        <v>101</v>
      </c>
      <c r="BJ243" t="s">
        <v>102</v>
      </c>
      <c r="BK243" t="s">
        <v>102</v>
      </c>
      <c r="BL243">
        <v>270689945</v>
      </c>
      <c r="BM243">
        <v>150567</v>
      </c>
      <c r="BN243">
        <v>0</v>
      </c>
      <c r="BO243">
        <v>35978</v>
      </c>
      <c r="BP243">
        <v>0</v>
      </c>
      <c r="BQ243">
        <v>0</v>
      </c>
      <c r="BR243">
        <v>0</v>
      </c>
      <c r="BS243">
        <v>270876490</v>
      </c>
      <c r="BT243">
        <v>99.93</v>
      </c>
      <c r="BU243">
        <v>0.06</v>
      </c>
      <c r="BV243">
        <v>0</v>
      </c>
      <c r="BW243">
        <v>0.01</v>
      </c>
      <c r="BX243">
        <v>0</v>
      </c>
      <c r="BY243">
        <v>0</v>
      </c>
      <c r="BZ243">
        <v>0</v>
      </c>
    </row>
    <row r="244" spans="1:78">
      <c r="A244" t="s">
        <v>80</v>
      </c>
      <c r="B244" t="s">
        <v>81</v>
      </c>
      <c r="C244" t="s">
        <v>82</v>
      </c>
      <c r="D244" t="s">
        <v>347</v>
      </c>
      <c r="E244">
        <v>47324</v>
      </c>
      <c r="F244" t="s">
        <v>348</v>
      </c>
      <c r="G244">
        <v>1468577</v>
      </c>
      <c r="H244">
        <v>1164418</v>
      </c>
      <c r="I244">
        <v>37266167</v>
      </c>
      <c r="J244">
        <v>443131</v>
      </c>
      <c r="L244" t="s">
        <v>349</v>
      </c>
      <c r="M244" t="s">
        <v>350</v>
      </c>
      <c r="N244" t="s">
        <v>87</v>
      </c>
      <c r="O244" t="s">
        <v>89</v>
      </c>
      <c r="P244" t="s">
        <v>89</v>
      </c>
      <c r="Q244" t="s">
        <v>351</v>
      </c>
      <c r="R244" t="s">
        <v>340</v>
      </c>
      <c r="T244" s="1">
        <v>46298</v>
      </c>
      <c r="U244">
        <v>3</v>
      </c>
      <c r="V244">
        <v>3</v>
      </c>
      <c r="W244" t="str">
        <f>"3"</f>
        <v>3</v>
      </c>
      <c r="X244" t="s">
        <v>356</v>
      </c>
      <c r="AA244" t="s">
        <v>94</v>
      </c>
      <c r="AB244" t="s">
        <v>95</v>
      </c>
      <c r="AC244" t="s">
        <v>96</v>
      </c>
      <c r="AD244" t="s">
        <v>95</v>
      </c>
      <c r="AE244" t="s">
        <v>95</v>
      </c>
      <c r="AF244" t="s">
        <v>95</v>
      </c>
      <c r="AN244" t="s">
        <v>95</v>
      </c>
      <c r="AQ244" t="s">
        <v>353</v>
      </c>
      <c r="AS244">
        <v>5866</v>
      </c>
      <c r="AT244" t="s">
        <v>198</v>
      </c>
      <c r="AU244" t="s">
        <v>357</v>
      </c>
      <c r="AV244">
        <v>2329667</v>
      </c>
      <c r="AW244">
        <v>2329667</v>
      </c>
      <c r="AY244">
        <v>0</v>
      </c>
      <c r="AZ244" t="s">
        <v>355</v>
      </c>
      <c r="BB244">
        <v>506596</v>
      </c>
      <c r="BC244" t="s">
        <v>99</v>
      </c>
      <c r="BD244" t="s">
        <v>268</v>
      </c>
      <c r="BE244" t="s">
        <v>290</v>
      </c>
      <c r="BG244" t="s">
        <v>100</v>
      </c>
      <c r="BH244" t="str">
        <f>"720934531"</f>
        <v>720934531</v>
      </c>
      <c r="BI244" t="s">
        <v>101</v>
      </c>
      <c r="BJ244" t="s">
        <v>102</v>
      </c>
      <c r="BK244" t="s">
        <v>102</v>
      </c>
      <c r="BL244">
        <v>270687017</v>
      </c>
      <c r="BM244">
        <v>150837</v>
      </c>
      <c r="BN244">
        <v>0</v>
      </c>
      <c r="BO244">
        <v>38636</v>
      </c>
      <c r="BP244">
        <v>0</v>
      </c>
      <c r="BQ244">
        <v>0</v>
      </c>
      <c r="BR244">
        <v>0</v>
      </c>
      <c r="BS244">
        <v>270876490</v>
      </c>
      <c r="BT244">
        <v>99.93</v>
      </c>
      <c r="BU244">
        <v>0.06</v>
      </c>
      <c r="BV244">
        <v>0</v>
      </c>
      <c r="BW244">
        <v>0.01</v>
      </c>
      <c r="BX244">
        <v>0</v>
      </c>
      <c r="BY244">
        <v>0</v>
      </c>
      <c r="BZ244">
        <v>0</v>
      </c>
    </row>
    <row r="245" spans="1:78">
      <c r="A245" t="s">
        <v>152</v>
      </c>
      <c r="B245" t="s">
        <v>358</v>
      </c>
      <c r="C245" t="s">
        <v>154</v>
      </c>
      <c r="D245" t="s">
        <v>359</v>
      </c>
      <c r="E245">
        <v>13105</v>
      </c>
      <c r="F245" t="s">
        <v>360</v>
      </c>
      <c r="G245">
        <v>1463392</v>
      </c>
      <c r="H245">
        <v>1160723</v>
      </c>
      <c r="I245">
        <v>37201734</v>
      </c>
      <c r="J245">
        <v>439197</v>
      </c>
      <c r="L245" t="s">
        <v>361</v>
      </c>
      <c r="M245" t="s">
        <v>362</v>
      </c>
      <c r="N245" t="s">
        <v>87</v>
      </c>
      <c r="O245" t="s">
        <v>363</v>
      </c>
      <c r="P245" t="s">
        <v>363</v>
      </c>
      <c r="Q245" t="s">
        <v>112</v>
      </c>
      <c r="R245" t="s">
        <v>364</v>
      </c>
      <c r="S245" s="1">
        <v>46359</v>
      </c>
      <c r="T245" s="1">
        <v>46329</v>
      </c>
      <c r="U245">
        <v>5</v>
      </c>
      <c r="V245">
        <v>1</v>
      </c>
      <c r="W245" t="str">
        <f>"2"</f>
        <v>2</v>
      </c>
      <c r="X245" t="s">
        <v>365</v>
      </c>
      <c r="AA245" t="s">
        <v>94</v>
      </c>
      <c r="AB245" t="s">
        <v>95</v>
      </c>
      <c r="AC245" t="s">
        <v>96</v>
      </c>
      <c r="AD245" t="s">
        <v>95</v>
      </c>
      <c r="AE245" t="s">
        <v>95</v>
      </c>
      <c r="AF245" t="s">
        <v>95</v>
      </c>
      <c r="AN245" t="s">
        <v>95</v>
      </c>
      <c r="AQ245" s="1">
        <v>46298</v>
      </c>
      <c r="AR245" t="s">
        <v>364</v>
      </c>
      <c r="AS245">
        <v>5031</v>
      </c>
      <c r="AT245" t="s">
        <v>126</v>
      </c>
      <c r="AU245" t="s">
        <v>366</v>
      </c>
      <c r="AV245">
        <v>1399</v>
      </c>
      <c r="AW245">
        <v>1399</v>
      </c>
      <c r="AX245">
        <v>1399</v>
      </c>
      <c r="AY245">
        <v>0</v>
      </c>
      <c r="AZ245" t="s">
        <v>266</v>
      </c>
      <c r="BB245">
        <v>492490</v>
      </c>
      <c r="BC245" t="s">
        <v>99</v>
      </c>
      <c r="BD245" t="s">
        <v>367</v>
      </c>
      <c r="BE245" t="s">
        <v>266</v>
      </c>
      <c r="BG245" t="s">
        <v>100</v>
      </c>
      <c r="BH245" t="str">
        <f t="shared" ref="BH245:BH270" si="15">"720906099"</f>
        <v>720906099</v>
      </c>
      <c r="BI245" t="s">
        <v>101</v>
      </c>
      <c r="BJ245" t="s">
        <v>102</v>
      </c>
      <c r="BK245" t="s">
        <v>102</v>
      </c>
      <c r="BL245">
        <v>39114924</v>
      </c>
      <c r="BM245">
        <v>251</v>
      </c>
      <c r="BN245">
        <v>0</v>
      </c>
      <c r="BO245">
        <v>39115175</v>
      </c>
      <c r="BP245">
        <v>0</v>
      </c>
      <c r="BQ245">
        <v>0</v>
      </c>
      <c r="BR245">
        <v>0</v>
      </c>
      <c r="BS245">
        <v>78230350</v>
      </c>
      <c r="BT245">
        <v>50</v>
      </c>
      <c r="BU245">
        <v>0</v>
      </c>
      <c r="BV245">
        <v>0</v>
      </c>
      <c r="BW245">
        <v>50</v>
      </c>
      <c r="BX245">
        <v>0</v>
      </c>
      <c r="BY245">
        <v>0</v>
      </c>
      <c r="BZ245">
        <v>0</v>
      </c>
    </row>
    <row r="246" spans="1:78">
      <c r="A246" t="s">
        <v>152</v>
      </c>
      <c r="B246" t="s">
        <v>358</v>
      </c>
      <c r="C246" t="s">
        <v>154</v>
      </c>
      <c r="D246" t="s">
        <v>359</v>
      </c>
      <c r="E246">
        <v>13105</v>
      </c>
      <c r="F246" t="s">
        <v>360</v>
      </c>
      <c r="G246">
        <v>1463392</v>
      </c>
      <c r="H246">
        <v>1160723</v>
      </c>
      <c r="I246">
        <v>37201734</v>
      </c>
      <c r="J246">
        <v>439197</v>
      </c>
      <c r="L246" t="s">
        <v>361</v>
      </c>
      <c r="M246" t="s">
        <v>362</v>
      </c>
      <c r="N246" t="s">
        <v>87</v>
      </c>
      <c r="O246" t="s">
        <v>363</v>
      </c>
      <c r="P246" t="s">
        <v>363</v>
      </c>
      <c r="Q246" t="s">
        <v>112</v>
      </c>
      <c r="R246" t="s">
        <v>364</v>
      </c>
      <c r="S246" s="1">
        <v>46359</v>
      </c>
      <c r="T246" s="1">
        <v>46329</v>
      </c>
      <c r="U246">
        <v>6</v>
      </c>
      <c r="V246">
        <v>2</v>
      </c>
      <c r="W246" t="str">
        <f>"3"</f>
        <v>3</v>
      </c>
      <c r="X246" t="s">
        <v>162</v>
      </c>
      <c r="AA246" t="s">
        <v>94</v>
      </c>
      <c r="AB246" t="s">
        <v>95</v>
      </c>
      <c r="AC246" t="s">
        <v>96</v>
      </c>
      <c r="AD246" t="s">
        <v>95</v>
      </c>
      <c r="AE246" t="s">
        <v>95</v>
      </c>
      <c r="AF246" t="s">
        <v>95</v>
      </c>
      <c r="AN246" t="s">
        <v>95</v>
      </c>
      <c r="AQ246" s="1">
        <v>46298</v>
      </c>
      <c r="AR246" t="s">
        <v>364</v>
      </c>
      <c r="AS246">
        <v>5000</v>
      </c>
      <c r="AT246" t="s">
        <v>126</v>
      </c>
      <c r="AU246" t="s">
        <v>162</v>
      </c>
      <c r="AV246">
        <v>1399</v>
      </c>
      <c r="AW246">
        <v>1399</v>
      </c>
      <c r="AX246">
        <v>1399</v>
      </c>
      <c r="AY246">
        <v>0</v>
      </c>
      <c r="AZ246" t="s">
        <v>266</v>
      </c>
      <c r="BB246">
        <v>492490</v>
      </c>
      <c r="BC246" t="s">
        <v>99</v>
      </c>
      <c r="BD246" t="s">
        <v>367</v>
      </c>
      <c r="BE246" t="s">
        <v>266</v>
      </c>
      <c r="BG246" t="s">
        <v>100</v>
      </c>
      <c r="BH246" t="str">
        <f t="shared" si="15"/>
        <v>720906099</v>
      </c>
      <c r="BI246" t="s">
        <v>101</v>
      </c>
      <c r="BJ246" t="s">
        <v>102</v>
      </c>
      <c r="BK246" t="s">
        <v>102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</row>
    <row r="247" spans="1:78">
      <c r="A247" t="s">
        <v>152</v>
      </c>
      <c r="B247" t="s">
        <v>358</v>
      </c>
      <c r="C247" t="s">
        <v>154</v>
      </c>
      <c r="D247" t="s">
        <v>359</v>
      </c>
      <c r="E247">
        <v>13105</v>
      </c>
      <c r="F247" t="s">
        <v>360</v>
      </c>
      <c r="G247">
        <v>1463392</v>
      </c>
      <c r="H247">
        <v>1160723</v>
      </c>
      <c r="I247">
        <v>37201734</v>
      </c>
      <c r="J247">
        <v>439197</v>
      </c>
      <c r="L247" t="s">
        <v>361</v>
      </c>
      <c r="M247" t="s">
        <v>362</v>
      </c>
      <c r="N247" t="s">
        <v>87</v>
      </c>
      <c r="O247" t="s">
        <v>363</v>
      </c>
      <c r="P247" t="s">
        <v>363</v>
      </c>
      <c r="Q247" t="s">
        <v>112</v>
      </c>
      <c r="R247" t="s">
        <v>364</v>
      </c>
      <c r="S247" s="1">
        <v>46359</v>
      </c>
      <c r="T247" s="1">
        <v>46329</v>
      </c>
      <c r="U247">
        <v>7</v>
      </c>
      <c r="V247">
        <v>3</v>
      </c>
      <c r="W247" t="str">
        <f>"4"</f>
        <v>4</v>
      </c>
      <c r="X247" t="s">
        <v>193</v>
      </c>
      <c r="AA247" t="s">
        <v>94</v>
      </c>
      <c r="AB247" t="s">
        <v>95</v>
      </c>
      <c r="AC247" t="s">
        <v>96</v>
      </c>
      <c r="AD247" t="s">
        <v>123</v>
      </c>
      <c r="AE247" t="s">
        <v>123</v>
      </c>
      <c r="AF247" t="s">
        <v>95</v>
      </c>
      <c r="AN247" t="s">
        <v>95</v>
      </c>
      <c r="AP247" t="str">
        <f>"Insufficient response to shareholder dissent"</f>
        <v>Insufficient response to shareholder dissent</v>
      </c>
      <c r="AQ247" s="1">
        <v>46298</v>
      </c>
      <c r="AR247" t="s">
        <v>364</v>
      </c>
      <c r="AS247">
        <v>5600</v>
      </c>
      <c r="AT247" t="s">
        <v>128</v>
      </c>
      <c r="AU247" t="s">
        <v>194</v>
      </c>
      <c r="AV247">
        <v>1399</v>
      </c>
      <c r="AW247">
        <v>1399</v>
      </c>
      <c r="AX247">
        <v>1399</v>
      </c>
      <c r="AY247">
        <v>0</v>
      </c>
      <c r="AZ247" t="s">
        <v>266</v>
      </c>
      <c r="BB247">
        <v>492490</v>
      </c>
      <c r="BC247" t="s">
        <v>99</v>
      </c>
      <c r="BD247" t="s">
        <v>367</v>
      </c>
      <c r="BE247" t="s">
        <v>266</v>
      </c>
      <c r="BG247" t="s">
        <v>100</v>
      </c>
      <c r="BH247" t="str">
        <f t="shared" si="15"/>
        <v>720906099</v>
      </c>
      <c r="BI247" t="s">
        <v>101</v>
      </c>
      <c r="BJ247" t="s">
        <v>123</v>
      </c>
      <c r="BK247" t="s">
        <v>123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</row>
    <row r="248" spans="1:78">
      <c r="A248" t="s">
        <v>152</v>
      </c>
      <c r="B248" t="s">
        <v>358</v>
      </c>
      <c r="C248" t="s">
        <v>154</v>
      </c>
      <c r="D248" t="s">
        <v>359</v>
      </c>
      <c r="E248">
        <v>13105</v>
      </c>
      <c r="F248" t="s">
        <v>360</v>
      </c>
      <c r="G248">
        <v>1463392</v>
      </c>
      <c r="H248">
        <v>1160723</v>
      </c>
      <c r="I248">
        <v>37201734</v>
      </c>
      <c r="J248">
        <v>439197</v>
      </c>
      <c r="L248" t="s">
        <v>361</v>
      </c>
      <c r="M248" t="s">
        <v>362</v>
      </c>
      <c r="N248" t="s">
        <v>87</v>
      </c>
      <c r="O248" t="s">
        <v>363</v>
      </c>
      <c r="P248" t="s">
        <v>363</v>
      </c>
      <c r="Q248" t="s">
        <v>112</v>
      </c>
      <c r="R248" t="s">
        <v>364</v>
      </c>
      <c r="S248" s="1">
        <v>46359</v>
      </c>
      <c r="T248" s="1">
        <v>46329</v>
      </c>
      <c r="U248">
        <v>8</v>
      </c>
      <c r="V248">
        <v>4</v>
      </c>
      <c r="W248" t="str">
        <f>"5.a."</f>
        <v>5.a.</v>
      </c>
      <c r="X248" t="s">
        <v>368</v>
      </c>
      <c r="Y248">
        <v>3534995</v>
      </c>
      <c r="Z248">
        <v>430019</v>
      </c>
      <c r="AA248" t="s">
        <v>94</v>
      </c>
      <c r="AB248" t="s">
        <v>95</v>
      </c>
      <c r="AC248" t="s">
        <v>96</v>
      </c>
      <c r="AD248" t="s">
        <v>95</v>
      </c>
      <c r="AE248" t="s">
        <v>95</v>
      </c>
      <c r="AF248" t="s">
        <v>369</v>
      </c>
      <c r="AN248" t="s">
        <v>123</v>
      </c>
      <c r="AO248" t="str">
        <f>"Overboarded. Still no NZC target."</f>
        <v>Overboarded. Still no NZC target.</v>
      </c>
      <c r="AQ248" s="1">
        <v>46298</v>
      </c>
      <c r="AR248" t="s">
        <v>364</v>
      </c>
      <c r="AS248">
        <v>5100</v>
      </c>
      <c r="AT248" t="s">
        <v>117</v>
      </c>
      <c r="AU248" t="s">
        <v>118</v>
      </c>
      <c r="AV248">
        <v>1399</v>
      </c>
      <c r="AW248">
        <v>1399</v>
      </c>
      <c r="AX248">
        <v>1399</v>
      </c>
      <c r="AY248">
        <v>0</v>
      </c>
      <c r="AZ248" t="s">
        <v>266</v>
      </c>
      <c r="BB248">
        <v>492490</v>
      </c>
      <c r="BC248" t="s">
        <v>99</v>
      </c>
      <c r="BD248" t="s">
        <v>367</v>
      </c>
      <c r="BE248" t="s">
        <v>266</v>
      </c>
      <c r="BG248" t="s">
        <v>100</v>
      </c>
      <c r="BH248" t="str">
        <f t="shared" si="15"/>
        <v>720906099</v>
      </c>
      <c r="BI248" t="s">
        <v>101</v>
      </c>
      <c r="BJ248" t="s">
        <v>123</v>
      </c>
      <c r="BK248" t="s">
        <v>123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</row>
    <row r="249" spans="1:78">
      <c r="A249" t="s">
        <v>152</v>
      </c>
      <c r="B249" t="s">
        <v>358</v>
      </c>
      <c r="C249" t="s">
        <v>154</v>
      </c>
      <c r="D249" t="s">
        <v>359</v>
      </c>
      <c r="E249">
        <v>13105</v>
      </c>
      <c r="F249" t="s">
        <v>360</v>
      </c>
      <c r="G249">
        <v>1463392</v>
      </c>
      <c r="H249">
        <v>1160723</v>
      </c>
      <c r="I249">
        <v>37201734</v>
      </c>
      <c r="J249">
        <v>439197</v>
      </c>
      <c r="L249" t="s">
        <v>361</v>
      </c>
      <c r="M249" t="s">
        <v>362</v>
      </c>
      <c r="N249" t="s">
        <v>87</v>
      </c>
      <c r="O249" t="s">
        <v>363</v>
      </c>
      <c r="P249" t="s">
        <v>363</v>
      </c>
      <c r="Q249" t="s">
        <v>112</v>
      </c>
      <c r="R249" t="s">
        <v>364</v>
      </c>
      <c r="S249" s="1">
        <v>46359</v>
      </c>
      <c r="T249" s="1">
        <v>46329</v>
      </c>
      <c r="U249">
        <v>9</v>
      </c>
      <c r="V249">
        <v>5</v>
      </c>
      <c r="W249" t="str">
        <f>"5.b."</f>
        <v>5.b.</v>
      </c>
      <c r="X249" t="s">
        <v>370</v>
      </c>
      <c r="Y249">
        <v>3534992</v>
      </c>
      <c r="Z249">
        <v>355555</v>
      </c>
      <c r="AA249" t="s">
        <v>94</v>
      </c>
      <c r="AB249" t="s">
        <v>95</v>
      </c>
      <c r="AC249" t="s">
        <v>96</v>
      </c>
      <c r="AD249" t="s">
        <v>95</v>
      </c>
      <c r="AE249" t="s">
        <v>95</v>
      </c>
      <c r="AF249" t="s">
        <v>95</v>
      </c>
      <c r="AN249" t="s">
        <v>95</v>
      </c>
      <c r="AQ249" s="1">
        <v>46298</v>
      </c>
      <c r="AR249" t="s">
        <v>364</v>
      </c>
      <c r="AS249">
        <v>5100</v>
      </c>
      <c r="AT249" t="s">
        <v>117</v>
      </c>
      <c r="AU249" t="s">
        <v>118</v>
      </c>
      <c r="AV249">
        <v>1399</v>
      </c>
      <c r="AW249">
        <v>1399</v>
      </c>
      <c r="AX249">
        <v>1399</v>
      </c>
      <c r="AY249">
        <v>0</v>
      </c>
      <c r="AZ249" t="s">
        <v>266</v>
      </c>
      <c r="BB249">
        <v>492490</v>
      </c>
      <c r="BC249" t="s">
        <v>99</v>
      </c>
      <c r="BD249" t="s">
        <v>367</v>
      </c>
      <c r="BE249" t="s">
        <v>266</v>
      </c>
      <c r="BG249" t="s">
        <v>100</v>
      </c>
      <c r="BH249" t="str">
        <f t="shared" si="15"/>
        <v>720906099</v>
      </c>
      <c r="BI249" t="s">
        <v>101</v>
      </c>
      <c r="BJ249" t="s">
        <v>102</v>
      </c>
      <c r="BK249" t="s">
        <v>102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</row>
    <row r="250" spans="1:78">
      <c r="A250" t="s">
        <v>152</v>
      </c>
      <c r="B250" t="s">
        <v>358</v>
      </c>
      <c r="C250" t="s">
        <v>154</v>
      </c>
      <c r="D250" t="s">
        <v>359</v>
      </c>
      <c r="E250">
        <v>13105</v>
      </c>
      <c r="F250" t="s">
        <v>360</v>
      </c>
      <c r="G250">
        <v>1463392</v>
      </c>
      <c r="H250">
        <v>1160723</v>
      </c>
      <c r="I250">
        <v>37201734</v>
      </c>
      <c r="J250">
        <v>439197</v>
      </c>
      <c r="L250" t="s">
        <v>361</v>
      </c>
      <c r="M250" t="s">
        <v>362</v>
      </c>
      <c r="N250" t="s">
        <v>87</v>
      </c>
      <c r="O250" t="s">
        <v>363</v>
      </c>
      <c r="P250" t="s">
        <v>363</v>
      </c>
      <c r="Q250" t="s">
        <v>112</v>
      </c>
      <c r="R250" t="s">
        <v>364</v>
      </c>
      <c r="S250" s="1">
        <v>46359</v>
      </c>
      <c r="T250" s="1">
        <v>46329</v>
      </c>
      <c r="U250">
        <v>10</v>
      </c>
      <c r="V250">
        <v>6</v>
      </c>
      <c r="W250" t="str">
        <f>"5.c."</f>
        <v>5.c.</v>
      </c>
      <c r="X250" t="s">
        <v>371</v>
      </c>
      <c r="Y250">
        <v>3534994</v>
      </c>
      <c r="Z250">
        <v>430018</v>
      </c>
      <c r="AA250" t="s">
        <v>94</v>
      </c>
      <c r="AB250" t="s">
        <v>95</v>
      </c>
      <c r="AC250" t="s">
        <v>96</v>
      </c>
      <c r="AD250" t="s">
        <v>95</v>
      </c>
      <c r="AE250" t="s">
        <v>95</v>
      </c>
      <c r="AF250" t="s">
        <v>95</v>
      </c>
      <c r="AN250" t="s">
        <v>95</v>
      </c>
      <c r="AQ250" s="1">
        <v>46298</v>
      </c>
      <c r="AR250" t="s">
        <v>364</v>
      </c>
      <c r="AS250">
        <v>5100</v>
      </c>
      <c r="AT250" t="s">
        <v>117</v>
      </c>
      <c r="AU250" t="s">
        <v>118</v>
      </c>
      <c r="AV250">
        <v>1399</v>
      </c>
      <c r="AW250">
        <v>1399</v>
      </c>
      <c r="AX250">
        <v>1399</v>
      </c>
      <c r="AY250">
        <v>0</v>
      </c>
      <c r="AZ250" t="s">
        <v>266</v>
      </c>
      <c r="BB250">
        <v>492490</v>
      </c>
      <c r="BC250" t="s">
        <v>99</v>
      </c>
      <c r="BD250" t="s">
        <v>367</v>
      </c>
      <c r="BE250" t="s">
        <v>266</v>
      </c>
      <c r="BG250" t="s">
        <v>100</v>
      </c>
      <c r="BH250" t="str">
        <f t="shared" si="15"/>
        <v>720906099</v>
      </c>
      <c r="BI250" t="s">
        <v>101</v>
      </c>
      <c r="BJ250" t="s">
        <v>102</v>
      </c>
      <c r="BK250" t="s">
        <v>102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</row>
    <row r="251" spans="1:78">
      <c r="A251" t="s">
        <v>152</v>
      </c>
      <c r="B251" t="s">
        <v>358</v>
      </c>
      <c r="C251" t="s">
        <v>154</v>
      </c>
      <c r="D251" t="s">
        <v>359</v>
      </c>
      <c r="E251">
        <v>13105</v>
      </c>
      <c r="F251" t="s">
        <v>360</v>
      </c>
      <c r="G251">
        <v>1463392</v>
      </c>
      <c r="H251">
        <v>1160723</v>
      </c>
      <c r="I251">
        <v>37201734</v>
      </c>
      <c r="J251">
        <v>439197</v>
      </c>
      <c r="L251" t="s">
        <v>361</v>
      </c>
      <c r="M251" t="s">
        <v>362</v>
      </c>
      <c r="N251" t="s">
        <v>87</v>
      </c>
      <c r="O251" t="s">
        <v>363</v>
      </c>
      <c r="P251" t="s">
        <v>363</v>
      </c>
      <c r="Q251" t="s">
        <v>112</v>
      </c>
      <c r="R251" t="s">
        <v>364</v>
      </c>
      <c r="S251" s="1">
        <v>46359</v>
      </c>
      <c r="T251" s="1">
        <v>46329</v>
      </c>
      <c r="U251">
        <v>11</v>
      </c>
      <c r="V251">
        <v>7</v>
      </c>
      <c r="W251" t="str">
        <f>"5.d."</f>
        <v>5.d.</v>
      </c>
      <c r="X251" t="s">
        <v>372</v>
      </c>
      <c r="Y251">
        <v>3534997</v>
      </c>
      <c r="Z251">
        <v>486114</v>
      </c>
      <c r="AA251" t="s">
        <v>94</v>
      </c>
      <c r="AB251" t="s">
        <v>95</v>
      </c>
      <c r="AC251" t="s">
        <v>96</v>
      </c>
      <c r="AD251" t="s">
        <v>95</v>
      </c>
      <c r="AE251" t="s">
        <v>95</v>
      </c>
      <c r="AF251" t="s">
        <v>369</v>
      </c>
      <c r="AN251" t="s">
        <v>123</v>
      </c>
      <c r="AO251" t="str">
        <f>"Overboarded"</f>
        <v>Overboarded</v>
      </c>
      <c r="AQ251" s="1">
        <v>46298</v>
      </c>
      <c r="AR251" t="s">
        <v>364</v>
      </c>
      <c r="AS251">
        <v>5100</v>
      </c>
      <c r="AT251" t="s">
        <v>117</v>
      </c>
      <c r="AU251" t="s">
        <v>118</v>
      </c>
      <c r="AV251">
        <v>1399</v>
      </c>
      <c r="AW251">
        <v>1399</v>
      </c>
      <c r="AX251">
        <v>1399</v>
      </c>
      <c r="AY251">
        <v>0</v>
      </c>
      <c r="AZ251" t="s">
        <v>266</v>
      </c>
      <c r="BB251">
        <v>492490</v>
      </c>
      <c r="BC251" t="s">
        <v>99</v>
      </c>
      <c r="BD251" t="s">
        <v>367</v>
      </c>
      <c r="BE251" t="s">
        <v>266</v>
      </c>
      <c r="BG251" t="s">
        <v>100</v>
      </c>
      <c r="BH251" t="str">
        <f t="shared" si="15"/>
        <v>720906099</v>
      </c>
      <c r="BI251" t="s">
        <v>101</v>
      </c>
      <c r="BJ251" t="s">
        <v>123</v>
      </c>
      <c r="BK251" t="s">
        <v>123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</row>
    <row r="252" spans="1:78">
      <c r="A252" t="s">
        <v>152</v>
      </c>
      <c r="B252" t="s">
        <v>358</v>
      </c>
      <c r="C252" t="s">
        <v>154</v>
      </c>
      <c r="D252" t="s">
        <v>359</v>
      </c>
      <c r="E252">
        <v>13105</v>
      </c>
      <c r="F252" t="s">
        <v>360</v>
      </c>
      <c r="G252">
        <v>1463392</v>
      </c>
      <c r="H252">
        <v>1160723</v>
      </c>
      <c r="I252">
        <v>37201734</v>
      </c>
      <c r="J252">
        <v>439197</v>
      </c>
      <c r="L252" t="s">
        <v>361</v>
      </c>
      <c r="M252" t="s">
        <v>362</v>
      </c>
      <c r="N252" t="s">
        <v>87</v>
      </c>
      <c r="O252" t="s">
        <v>363</v>
      </c>
      <c r="P252" t="s">
        <v>363</v>
      </c>
      <c r="Q252" t="s">
        <v>112</v>
      </c>
      <c r="R252" t="s">
        <v>364</v>
      </c>
      <c r="S252" s="1">
        <v>46359</v>
      </c>
      <c r="T252" s="1">
        <v>46329</v>
      </c>
      <c r="U252">
        <v>12</v>
      </c>
      <c r="V252">
        <v>8</v>
      </c>
      <c r="W252" t="str">
        <f>"5.e."</f>
        <v>5.e.</v>
      </c>
      <c r="X252" t="s">
        <v>373</v>
      </c>
      <c r="Y252">
        <v>3534993</v>
      </c>
      <c r="Z252">
        <v>380410</v>
      </c>
      <c r="AA252" t="s">
        <v>94</v>
      </c>
      <c r="AB252" t="s">
        <v>95</v>
      </c>
      <c r="AC252" t="s">
        <v>96</v>
      </c>
      <c r="AD252" t="s">
        <v>95</v>
      </c>
      <c r="AE252" t="s">
        <v>95</v>
      </c>
      <c r="AF252" t="s">
        <v>95</v>
      </c>
      <c r="AN252" t="s">
        <v>95</v>
      </c>
      <c r="AQ252" s="1">
        <v>46298</v>
      </c>
      <c r="AR252" t="s">
        <v>364</v>
      </c>
      <c r="AS252">
        <v>5100</v>
      </c>
      <c r="AT252" t="s">
        <v>117</v>
      </c>
      <c r="AU252" t="s">
        <v>118</v>
      </c>
      <c r="AV252">
        <v>1399</v>
      </c>
      <c r="AW252">
        <v>1399</v>
      </c>
      <c r="AX252">
        <v>1399</v>
      </c>
      <c r="AY252">
        <v>0</v>
      </c>
      <c r="AZ252" t="s">
        <v>266</v>
      </c>
      <c r="BB252">
        <v>492490</v>
      </c>
      <c r="BC252" t="s">
        <v>99</v>
      </c>
      <c r="BD252" t="s">
        <v>367</v>
      </c>
      <c r="BE252" t="s">
        <v>266</v>
      </c>
      <c r="BG252" t="s">
        <v>100</v>
      </c>
      <c r="BH252" t="str">
        <f t="shared" si="15"/>
        <v>720906099</v>
      </c>
      <c r="BI252" t="s">
        <v>101</v>
      </c>
      <c r="BJ252" t="s">
        <v>102</v>
      </c>
      <c r="BK252" t="s">
        <v>102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</row>
    <row r="253" spans="1:78">
      <c r="A253" t="s">
        <v>152</v>
      </c>
      <c r="B253" t="s">
        <v>358</v>
      </c>
      <c r="C253" t="s">
        <v>154</v>
      </c>
      <c r="D253" t="s">
        <v>359</v>
      </c>
      <c r="E253">
        <v>13105</v>
      </c>
      <c r="F253" t="s">
        <v>360</v>
      </c>
      <c r="G253">
        <v>1463392</v>
      </c>
      <c r="H253">
        <v>1160723</v>
      </c>
      <c r="I253">
        <v>37201734</v>
      </c>
      <c r="J253">
        <v>439197</v>
      </c>
      <c r="L253" t="s">
        <v>361</v>
      </c>
      <c r="M253" t="s">
        <v>362</v>
      </c>
      <c r="N253" t="s">
        <v>87</v>
      </c>
      <c r="O253" t="s">
        <v>363</v>
      </c>
      <c r="P253" t="s">
        <v>363</v>
      </c>
      <c r="Q253" t="s">
        <v>112</v>
      </c>
      <c r="R253" t="s">
        <v>364</v>
      </c>
      <c r="S253" s="1">
        <v>46359</v>
      </c>
      <c r="T253" s="1">
        <v>46329</v>
      </c>
      <c r="U253">
        <v>13</v>
      </c>
      <c r="V253">
        <v>9</v>
      </c>
      <c r="W253" t="str">
        <f>"5.f."</f>
        <v>5.f.</v>
      </c>
      <c r="X253" t="s">
        <v>374</v>
      </c>
      <c r="Y253">
        <v>3534991</v>
      </c>
      <c r="Z253">
        <v>151431</v>
      </c>
      <c r="AA253" t="s">
        <v>94</v>
      </c>
      <c r="AB253" t="s">
        <v>95</v>
      </c>
      <c r="AC253" t="s">
        <v>96</v>
      </c>
      <c r="AD253" t="s">
        <v>369</v>
      </c>
      <c r="AE253" t="s">
        <v>123</v>
      </c>
      <c r="AF253" t="s">
        <v>369</v>
      </c>
      <c r="AN253" t="s">
        <v>123</v>
      </c>
      <c r="AO253" t="str">
        <f>" Insufficient board and sub-committee independence due to tenure"</f>
        <v xml:space="preserve"> Insufficient board and sub-committee independence due to tenure</v>
      </c>
      <c r="AP253" t="s">
        <v>375</v>
      </c>
      <c r="AQ253" s="1">
        <v>46298</v>
      </c>
      <c r="AR253" t="s">
        <v>364</v>
      </c>
      <c r="AS253">
        <v>5100</v>
      </c>
      <c r="AT253" t="s">
        <v>117</v>
      </c>
      <c r="AU253" t="s">
        <v>118</v>
      </c>
      <c r="AV253">
        <v>1399</v>
      </c>
      <c r="AW253">
        <v>1399</v>
      </c>
      <c r="AX253">
        <v>1399</v>
      </c>
      <c r="AY253">
        <v>0</v>
      </c>
      <c r="AZ253" t="s">
        <v>266</v>
      </c>
      <c r="BB253">
        <v>492490</v>
      </c>
      <c r="BC253" t="s">
        <v>99</v>
      </c>
      <c r="BD253" t="s">
        <v>367</v>
      </c>
      <c r="BE253" t="s">
        <v>266</v>
      </c>
      <c r="BG253" t="s">
        <v>100</v>
      </c>
      <c r="BH253" t="str">
        <f t="shared" si="15"/>
        <v>720906099</v>
      </c>
      <c r="BI253" t="s">
        <v>101</v>
      </c>
      <c r="BJ253" t="s">
        <v>123</v>
      </c>
      <c r="BK253" t="s">
        <v>102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</row>
    <row r="254" spans="1:78">
      <c r="A254" t="s">
        <v>152</v>
      </c>
      <c r="B254" t="s">
        <v>358</v>
      </c>
      <c r="C254" t="s">
        <v>154</v>
      </c>
      <c r="D254" t="s">
        <v>359</v>
      </c>
      <c r="E254">
        <v>13105</v>
      </c>
      <c r="F254" t="s">
        <v>360</v>
      </c>
      <c r="G254">
        <v>1463392</v>
      </c>
      <c r="H254">
        <v>1160723</v>
      </c>
      <c r="I254">
        <v>37201734</v>
      </c>
      <c r="J254">
        <v>439197</v>
      </c>
      <c r="L254" t="s">
        <v>361</v>
      </c>
      <c r="M254" t="s">
        <v>362</v>
      </c>
      <c r="N254" t="s">
        <v>87</v>
      </c>
      <c r="O254" t="s">
        <v>363</v>
      </c>
      <c r="P254" t="s">
        <v>363</v>
      </c>
      <c r="Q254" t="s">
        <v>112</v>
      </c>
      <c r="R254" t="s">
        <v>364</v>
      </c>
      <c r="S254" s="1">
        <v>46359</v>
      </c>
      <c r="T254" s="1">
        <v>46329</v>
      </c>
      <c r="U254">
        <v>14</v>
      </c>
      <c r="V254">
        <v>10</v>
      </c>
      <c r="W254" t="str">
        <f>"6"</f>
        <v>6</v>
      </c>
      <c r="X254" t="s">
        <v>376</v>
      </c>
      <c r="AA254" t="s">
        <v>94</v>
      </c>
      <c r="AB254" t="s">
        <v>95</v>
      </c>
      <c r="AC254" t="s">
        <v>96</v>
      </c>
      <c r="AD254" t="s">
        <v>95</v>
      </c>
      <c r="AE254" t="s">
        <v>95</v>
      </c>
      <c r="AF254" t="s">
        <v>95</v>
      </c>
      <c r="AN254" t="s">
        <v>95</v>
      </c>
      <c r="AQ254" s="1">
        <v>46298</v>
      </c>
      <c r="AR254" t="s">
        <v>364</v>
      </c>
      <c r="AS254">
        <v>5200</v>
      </c>
      <c r="AT254" t="s">
        <v>126</v>
      </c>
      <c r="AU254" t="s">
        <v>190</v>
      </c>
      <c r="AV254">
        <v>1399</v>
      </c>
      <c r="AW254">
        <v>1399</v>
      </c>
      <c r="AX254">
        <v>1399</v>
      </c>
      <c r="AY254">
        <v>0</v>
      </c>
      <c r="AZ254" t="s">
        <v>266</v>
      </c>
      <c r="BB254">
        <v>492490</v>
      </c>
      <c r="BC254" t="s">
        <v>99</v>
      </c>
      <c r="BD254" t="s">
        <v>367</v>
      </c>
      <c r="BE254" t="s">
        <v>266</v>
      </c>
      <c r="BG254" t="s">
        <v>100</v>
      </c>
      <c r="BH254" t="str">
        <f t="shared" si="15"/>
        <v>720906099</v>
      </c>
      <c r="BI254" t="s">
        <v>101</v>
      </c>
      <c r="BJ254" t="s">
        <v>102</v>
      </c>
      <c r="BK254" t="s">
        <v>102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</row>
    <row r="255" spans="1:78">
      <c r="A255" t="s">
        <v>152</v>
      </c>
      <c r="B255" t="s">
        <v>358</v>
      </c>
      <c r="C255" t="s">
        <v>154</v>
      </c>
      <c r="D255" t="s">
        <v>359</v>
      </c>
      <c r="E255">
        <v>13105</v>
      </c>
      <c r="F255" t="s">
        <v>360</v>
      </c>
      <c r="G255">
        <v>1463392</v>
      </c>
      <c r="H255">
        <v>1160723</v>
      </c>
      <c r="I255">
        <v>37201734</v>
      </c>
      <c r="J255">
        <v>439197</v>
      </c>
      <c r="L255" t="s">
        <v>361</v>
      </c>
      <c r="M255" t="s">
        <v>362</v>
      </c>
      <c r="N255" t="s">
        <v>87</v>
      </c>
      <c r="O255" t="s">
        <v>363</v>
      </c>
      <c r="P255" t="s">
        <v>363</v>
      </c>
      <c r="Q255" t="s">
        <v>112</v>
      </c>
      <c r="R255" t="s">
        <v>364</v>
      </c>
      <c r="S255" s="1">
        <v>46359</v>
      </c>
      <c r="T255" s="1">
        <v>46329</v>
      </c>
      <c r="U255">
        <v>15</v>
      </c>
      <c r="V255">
        <v>11</v>
      </c>
      <c r="W255" t="str">
        <f>"7.a."</f>
        <v>7.a.</v>
      </c>
      <c r="X255" t="s">
        <v>214</v>
      </c>
      <c r="AA255" t="s">
        <v>94</v>
      </c>
      <c r="AB255" t="s">
        <v>95</v>
      </c>
      <c r="AC255" t="s">
        <v>96</v>
      </c>
      <c r="AD255" t="s">
        <v>123</v>
      </c>
      <c r="AE255" t="s">
        <v>123</v>
      </c>
      <c r="AF255" t="s">
        <v>123</v>
      </c>
      <c r="AN255" t="s">
        <v>123</v>
      </c>
      <c r="AO255" t="str">
        <f>"Research Notes: A vote AGAINST this item is warranted as the proposed fees are considered excessive in relation to peers. Rationale: Voting inline with ISS on excessive board pay - the above amounts ignore a substantial additional pay in restricted share"</f>
        <v>Research Notes: A vote AGAINST this item is warranted as the proposed fees are considered excessive in relation to peers. Rationale: Voting inline with ISS on excessive board pay - the above amounts ignore a substantial additional pay in restricted share</v>
      </c>
      <c r="AP255" t="str">
        <f>"Insufficient response to shareholder dissent"</f>
        <v>Insufficient response to shareholder dissent</v>
      </c>
      <c r="AQ255" s="1">
        <v>46298</v>
      </c>
      <c r="AR255" t="s">
        <v>364</v>
      </c>
      <c r="AS255">
        <v>5505</v>
      </c>
      <c r="AT255" t="s">
        <v>128</v>
      </c>
      <c r="AU255" t="s">
        <v>257</v>
      </c>
      <c r="AV255">
        <v>1399</v>
      </c>
      <c r="AW255">
        <v>1399</v>
      </c>
      <c r="AX255">
        <v>1399</v>
      </c>
      <c r="AY255">
        <v>0</v>
      </c>
      <c r="AZ255" t="s">
        <v>266</v>
      </c>
      <c r="BB255">
        <v>492490</v>
      </c>
      <c r="BC255" t="s">
        <v>99</v>
      </c>
      <c r="BD255" t="s">
        <v>367</v>
      </c>
      <c r="BE255" t="s">
        <v>266</v>
      </c>
      <c r="BG255" t="s">
        <v>100</v>
      </c>
      <c r="BH255" t="str">
        <f t="shared" si="15"/>
        <v>720906099</v>
      </c>
      <c r="BI255" t="s">
        <v>101</v>
      </c>
      <c r="BJ255" t="s">
        <v>102</v>
      </c>
      <c r="BK255" t="s">
        <v>102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</row>
    <row r="256" spans="1:78">
      <c r="A256" t="s">
        <v>152</v>
      </c>
      <c r="B256" t="s">
        <v>358</v>
      </c>
      <c r="C256" t="s">
        <v>154</v>
      </c>
      <c r="D256" t="s">
        <v>359</v>
      </c>
      <c r="E256">
        <v>13105</v>
      </c>
      <c r="F256" t="s">
        <v>360</v>
      </c>
      <c r="G256">
        <v>1463392</v>
      </c>
      <c r="H256">
        <v>1160723</v>
      </c>
      <c r="I256">
        <v>37201734</v>
      </c>
      <c r="J256">
        <v>439197</v>
      </c>
      <c r="L256" t="s">
        <v>361</v>
      </c>
      <c r="M256" t="s">
        <v>362</v>
      </c>
      <c r="N256" t="s">
        <v>87</v>
      </c>
      <c r="O256" t="s">
        <v>363</v>
      </c>
      <c r="P256" t="s">
        <v>363</v>
      </c>
      <c r="Q256" t="s">
        <v>112</v>
      </c>
      <c r="R256" t="s">
        <v>364</v>
      </c>
      <c r="S256" s="1">
        <v>46359</v>
      </c>
      <c r="T256" s="1">
        <v>46329</v>
      </c>
      <c r="U256">
        <v>16</v>
      </c>
      <c r="V256">
        <v>12</v>
      </c>
      <c r="W256" t="str">
        <f>"7.b."</f>
        <v>7.b.</v>
      </c>
      <c r="X256" t="s">
        <v>377</v>
      </c>
      <c r="AA256" t="s">
        <v>94</v>
      </c>
      <c r="AB256" t="s">
        <v>95</v>
      </c>
      <c r="AC256" t="s">
        <v>96</v>
      </c>
      <c r="AD256" t="s">
        <v>95</v>
      </c>
      <c r="AE256" t="s">
        <v>95</v>
      </c>
      <c r="AF256" t="s">
        <v>95</v>
      </c>
      <c r="AN256" t="s">
        <v>95</v>
      </c>
      <c r="AQ256" s="1">
        <v>46298</v>
      </c>
      <c r="AR256" t="s">
        <v>364</v>
      </c>
      <c r="AS256">
        <v>5820</v>
      </c>
      <c r="AT256" t="s">
        <v>198</v>
      </c>
      <c r="AU256" t="s">
        <v>378</v>
      </c>
      <c r="AV256">
        <v>1399</v>
      </c>
      <c r="AW256">
        <v>1399</v>
      </c>
      <c r="AX256">
        <v>1399</v>
      </c>
      <c r="AY256">
        <v>0</v>
      </c>
      <c r="AZ256" t="s">
        <v>266</v>
      </c>
      <c r="BB256">
        <v>492490</v>
      </c>
      <c r="BC256" t="s">
        <v>99</v>
      </c>
      <c r="BD256" t="s">
        <v>367</v>
      </c>
      <c r="BE256" t="s">
        <v>266</v>
      </c>
      <c r="BG256" t="s">
        <v>100</v>
      </c>
      <c r="BH256" t="str">
        <f t="shared" si="15"/>
        <v>720906099</v>
      </c>
      <c r="BI256" t="s">
        <v>101</v>
      </c>
      <c r="BJ256" t="s">
        <v>102</v>
      </c>
      <c r="BK256" t="s">
        <v>102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</row>
    <row r="257" spans="1:78">
      <c r="A257" t="s">
        <v>152</v>
      </c>
      <c r="B257" t="s">
        <v>358</v>
      </c>
      <c r="C257" t="s">
        <v>154</v>
      </c>
      <c r="D257" t="s">
        <v>359</v>
      </c>
      <c r="E257">
        <v>13105</v>
      </c>
      <c r="F257" t="s">
        <v>360</v>
      </c>
      <c r="G257">
        <v>1463392</v>
      </c>
      <c r="H257">
        <v>1160723</v>
      </c>
      <c r="I257">
        <v>37201734</v>
      </c>
      <c r="J257">
        <v>439197</v>
      </c>
      <c r="L257" t="s">
        <v>361</v>
      </c>
      <c r="M257" t="s">
        <v>362</v>
      </c>
      <c r="N257" t="s">
        <v>87</v>
      </c>
      <c r="O257" t="s">
        <v>363</v>
      </c>
      <c r="P257" t="s">
        <v>363</v>
      </c>
      <c r="Q257" t="s">
        <v>112</v>
      </c>
      <c r="R257" t="s">
        <v>364</v>
      </c>
      <c r="S257" s="1">
        <v>46359</v>
      </c>
      <c r="T257" s="1">
        <v>46329</v>
      </c>
      <c r="U257">
        <v>17</v>
      </c>
      <c r="V257">
        <v>13</v>
      </c>
      <c r="W257" t="str">
        <f>"8"</f>
        <v>8</v>
      </c>
      <c r="X257" t="s">
        <v>379</v>
      </c>
      <c r="AA257" t="s">
        <v>94</v>
      </c>
      <c r="AB257" t="s">
        <v>95</v>
      </c>
      <c r="AC257" t="s">
        <v>96</v>
      </c>
      <c r="AD257" t="s">
        <v>95</v>
      </c>
      <c r="AE257" t="s">
        <v>95</v>
      </c>
      <c r="AF257" t="s">
        <v>95</v>
      </c>
      <c r="AN257" t="s">
        <v>95</v>
      </c>
      <c r="AQ257" s="1">
        <v>46298</v>
      </c>
      <c r="AR257" t="s">
        <v>364</v>
      </c>
      <c r="AS257">
        <v>5750</v>
      </c>
      <c r="AT257" t="s">
        <v>145</v>
      </c>
      <c r="AU257" t="s">
        <v>379</v>
      </c>
      <c r="AV257">
        <v>1399</v>
      </c>
      <c r="AW257">
        <v>1399</v>
      </c>
      <c r="AX257">
        <v>1399</v>
      </c>
      <c r="AY257">
        <v>0</v>
      </c>
      <c r="AZ257" t="s">
        <v>266</v>
      </c>
      <c r="BB257">
        <v>492490</v>
      </c>
      <c r="BC257" t="s">
        <v>99</v>
      </c>
      <c r="BD257" t="s">
        <v>367</v>
      </c>
      <c r="BE257" t="s">
        <v>266</v>
      </c>
      <c r="BG257" t="s">
        <v>100</v>
      </c>
      <c r="BH257" t="str">
        <f t="shared" si="15"/>
        <v>720906099</v>
      </c>
      <c r="BI257" t="s">
        <v>101</v>
      </c>
      <c r="BJ257" t="s">
        <v>102</v>
      </c>
      <c r="BK257" t="s">
        <v>102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</row>
    <row r="258" spans="1:78">
      <c r="A258" t="s">
        <v>205</v>
      </c>
      <c r="B258" t="s">
        <v>358</v>
      </c>
      <c r="C258" t="s">
        <v>154</v>
      </c>
      <c r="D258" t="s">
        <v>359</v>
      </c>
      <c r="E258">
        <v>13105</v>
      </c>
      <c r="F258" t="s">
        <v>360</v>
      </c>
      <c r="G258">
        <v>1463392</v>
      </c>
      <c r="H258">
        <v>1160723</v>
      </c>
      <c r="I258">
        <v>37201733</v>
      </c>
      <c r="J258">
        <v>439197</v>
      </c>
      <c r="L258" t="s">
        <v>361</v>
      </c>
      <c r="M258" t="s">
        <v>362</v>
      </c>
      <c r="N258" t="s">
        <v>87</v>
      </c>
      <c r="O258" t="s">
        <v>363</v>
      </c>
      <c r="P258" t="s">
        <v>363</v>
      </c>
      <c r="Q258" t="s">
        <v>112</v>
      </c>
      <c r="R258" t="s">
        <v>364</v>
      </c>
      <c r="S258" s="1">
        <v>46359</v>
      </c>
      <c r="T258" s="1">
        <v>46329</v>
      </c>
      <c r="U258">
        <v>5</v>
      </c>
      <c r="V258">
        <v>1</v>
      </c>
      <c r="W258" t="str">
        <f>"2"</f>
        <v>2</v>
      </c>
      <c r="X258" t="s">
        <v>365</v>
      </c>
      <c r="AA258" t="s">
        <v>94</v>
      </c>
      <c r="AB258" t="s">
        <v>95</v>
      </c>
      <c r="AC258" t="s">
        <v>96</v>
      </c>
      <c r="AD258" t="s">
        <v>95</v>
      </c>
      <c r="AE258" t="s">
        <v>95</v>
      </c>
      <c r="AF258" t="s">
        <v>95</v>
      </c>
      <c r="AN258" t="s">
        <v>95</v>
      </c>
      <c r="AQ258" s="1">
        <v>46298</v>
      </c>
      <c r="AR258" t="s">
        <v>364</v>
      </c>
      <c r="AS258">
        <v>5031</v>
      </c>
      <c r="AT258" t="s">
        <v>126</v>
      </c>
      <c r="AU258" t="s">
        <v>366</v>
      </c>
      <c r="AV258">
        <v>1494</v>
      </c>
      <c r="AW258">
        <v>1494</v>
      </c>
      <c r="AX258">
        <v>1494</v>
      </c>
      <c r="AY258">
        <v>0</v>
      </c>
      <c r="AZ258" t="s">
        <v>266</v>
      </c>
      <c r="BB258">
        <v>492490</v>
      </c>
      <c r="BC258" t="s">
        <v>99</v>
      </c>
      <c r="BD258" t="s">
        <v>367</v>
      </c>
      <c r="BE258" t="s">
        <v>266</v>
      </c>
      <c r="BG258" t="s">
        <v>100</v>
      </c>
      <c r="BH258" t="str">
        <f t="shared" si="15"/>
        <v>720906099</v>
      </c>
      <c r="BI258" t="s">
        <v>101</v>
      </c>
      <c r="BJ258" t="s">
        <v>102</v>
      </c>
      <c r="BK258" t="s">
        <v>102</v>
      </c>
      <c r="BL258">
        <v>39114924</v>
      </c>
      <c r="BM258">
        <v>251</v>
      </c>
      <c r="BN258">
        <v>0</v>
      </c>
      <c r="BO258">
        <v>39115175</v>
      </c>
      <c r="BP258">
        <v>0</v>
      </c>
      <c r="BQ258">
        <v>0</v>
      </c>
      <c r="BR258">
        <v>0</v>
      </c>
      <c r="BS258">
        <v>78230350</v>
      </c>
      <c r="BT258">
        <v>50</v>
      </c>
      <c r="BU258">
        <v>0</v>
      </c>
      <c r="BV258">
        <v>0</v>
      </c>
      <c r="BW258">
        <v>50</v>
      </c>
      <c r="BX258">
        <v>0</v>
      </c>
      <c r="BY258">
        <v>0</v>
      </c>
      <c r="BZ258">
        <v>0</v>
      </c>
    </row>
    <row r="259" spans="1:78">
      <c r="A259" t="s">
        <v>205</v>
      </c>
      <c r="B259" t="s">
        <v>358</v>
      </c>
      <c r="C259" t="s">
        <v>154</v>
      </c>
      <c r="D259" t="s">
        <v>359</v>
      </c>
      <c r="E259">
        <v>13105</v>
      </c>
      <c r="F259" t="s">
        <v>360</v>
      </c>
      <c r="G259">
        <v>1463392</v>
      </c>
      <c r="H259">
        <v>1160723</v>
      </c>
      <c r="I259">
        <v>37201733</v>
      </c>
      <c r="J259">
        <v>439197</v>
      </c>
      <c r="L259" t="s">
        <v>361</v>
      </c>
      <c r="M259" t="s">
        <v>362</v>
      </c>
      <c r="N259" t="s">
        <v>87</v>
      </c>
      <c r="O259" t="s">
        <v>363</v>
      </c>
      <c r="P259" t="s">
        <v>363</v>
      </c>
      <c r="Q259" t="s">
        <v>112</v>
      </c>
      <c r="R259" t="s">
        <v>364</v>
      </c>
      <c r="S259" s="1">
        <v>46359</v>
      </c>
      <c r="T259" s="1">
        <v>46329</v>
      </c>
      <c r="U259">
        <v>6</v>
      </c>
      <c r="V259">
        <v>2</v>
      </c>
      <c r="W259" t="str">
        <f>"3"</f>
        <v>3</v>
      </c>
      <c r="X259" t="s">
        <v>162</v>
      </c>
      <c r="AA259" t="s">
        <v>94</v>
      </c>
      <c r="AB259" t="s">
        <v>95</v>
      </c>
      <c r="AC259" t="s">
        <v>96</v>
      </c>
      <c r="AD259" t="s">
        <v>95</v>
      </c>
      <c r="AE259" t="s">
        <v>95</v>
      </c>
      <c r="AF259" t="s">
        <v>95</v>
      </c>
      <c r="AN259" t="s">
        <v>95</v>
      </c>
      <c r="AQ259" s="1">
        <v>46298</v>
      </c>
      <c r="AR259" t="s">
        <v>364</v>
      </c>
      <c r="AS259">
        <v>5000</v>
      </c>
      <c r="AT259" t="s">
        <v>126</v>
      </c>
      <c r="AU259" t="s">
        <v>162</v>
      </c>
      <c r="AV259">
        <v>1494</v>
      </c>
      <c r="AW259">
        <v>1494</v>
      </c>
      <c r="AX259">
        <v>1494</v>
      </c>
      <c r="AY259">
        <v>0</v>
      </c>
      <c r="AZ259" t="s">
        <v>266</v>
      </c>
      <c r="BB259">
        <v>492490</v>
      </c>
      <c r="BC259" t="s">
        <v>99</v>
      </c>
      <c r="BD259" t="s">
        <v>367</v>
      </c>
      <c r="BE259" t="s">
        <v>266</v>
      </c>
      <c r="BG259" t="s">
        <v>100</v>
      </c>
      <c r="BH259" t="str">
        <f t="shared" si="15"/>
        <v>720906099</v>
      </c>
      <c r="BI259" t="s">
        <v>101</v>
      </c>
      <c r="BJ259" t="s">
        <v>102</v>
      </c>
      <c r="BK259" t="s">
        <v>102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</row>
    <row r="260" spans="1:78">
      <c r="A260" t="s">
        <v>205</v>
      </c>
      <c r="B260" t="s">
        <v>358</v>
      </c>
      <c r="C260" t="s">
        <v>154</v>
      </c>
      <c r="D260" t="s">
        <v>359</v>
      </c>
      <c r="E260">
        <v>13105</v>
      </c>
      <c r="F260" t="s">
        <v>360</v>
      </c>
      <c r="G260">
        <v>1463392</v>
      </c>
      <c r="H260">
        <v>1160723</v>
      </c>
      <c r="I260">
        <v>37201733</v>
      </c>
      <c r="J260">
        <v>439197</v>
      </c>
      <c r="L260" t="s">
        <v>361</v>
      </c>
      <c r="M260" t="s">
        <v>362</v>
      </c>
      <c r="N260" t="s">
        <v>87</v>
      </c>
      <c r="O260" t="s">
        <v>363</v>
      </c>
      <c r="P260" t="s">
        <v>363</v>
      </c>
      <c r="Q260" t="s">
        <v>112</v>
      </c>
      <c r="R260" t="s">
        <v>364</v>
      </c>
      <c r="S260" s="1">
        <v>46359</v>
      </c>
      <c r="T260" s="1">
        <v>46329</v>
      </c>
      <c r="U260">
        <v>7</v>
      </c>
      <c r="V260">
        <v>3</v>
      </c>
      <c r="W260" t="str">
        <f>"4"</f>
        <v>4</v>
      </c>
      <c r="X260" t="s">
        <v>193</v>
      </c>
      <c r="AA260" t="s">
        <v>94</v>
      </c>
      <c r="AB260" t="s">
        <v>95</v>
      </c>
      <c r="AC260" t="s">
        <v>96</v>
      </c>
      <c r="AD260" t="s">
        <v>123</v>
      </c>
      <c r="AE260" t="s">
        <v>123</v>
      </c>
      <c r="AF260" t="s">
        <v>95</v>
      </c>
      <c r="AN260" t="s">
        <v>95</v>
      </c>
      <c r="AP260" t="str">
        <f>"Insufficient response to shareholder dissent"</f>
        <v>Insufficient response to shareholder dissent</v>
      </c>
      <c r="AQ260" s="1">
        <v>46298</v>
      </c>
      <c r="AR260" t="s">
        <v>364</v>
      </c>
      <c r="AS260">
        <v>5600</v>
      </c>
      <c r="AT260" t="s">
        <v>128</v>
      </c>
      <c r="AU260" t="s">
        <v>194</v>
      </c>
      <c r="AV260">
        <v>1494</v>
      </c>
      <c r="AW260">
        <v>1494</v>
      </c>
      <c r="AX260">
        <v>1494</v>
      </c>
      <c r="AY260">
        <v>0</v>
      </c>
      <c r="AZ260" t="s">
        <v>266</v>
      </c>
      <c r="BB260">
        <v>492490</v>
      </c>
      <c r="BC260" t="s">
        <v>99</v>
      </c>
      <c r="BD260" t="s">
        <v>367</v>
      </c>
      <c r="BE260" t="s">
        <v>266</v>
      </c>
      <c r="BG260" t="s">
        <v>100</v>
      </c>
      <c r="BH260" t="str">
        <f t="shared" si="15"/>
        <v>720906099</v>
      </c>
      <c r="BI260" t="s">
        <v>101</v>
      </c>
      <c r="BJ260" t="s">
        <v>123</v>
      </c>
      <c r="BK260" t="s">
        <v>123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</row>
    <row r="261" spans="1:78">
      <c r="A261" t="s">
        <v>205</v>
      </c>
      <c r="B261" t="s">
        <v>358</v>
      </c>
      <c r="C261" t="s">
        <v>154</v>
      </c>
      <c r="D261" t="s">
        <v>359</v>
      </c>
      <c r="E261">
        <v>13105</v>
      </c>
      <c r="F261" t="s">
        <v>360</v>
      </c>
      <c r="G261">
        <v>1463392</v>
      </c>
      <c r="H261">
        <v>1160723</v>
      </c>
      <c r="I261">
        <v>37201733</v>
      </c>
      <c r="J261">
        <v>439197</v>
      </c>
      <c r="L261" t="s">
        <v>361</v>
      </c>
      <c r="M261" t="s">
        <v>362</v>
      </c>
      <c r="N261" t="s">
        <v>87</v>
      </c>
      <c r="O261" t="s">
        <v>363</v>
      </c>
      <c r="P261" t="s">
        <v>363</v>
      </c>
      <c r="Q261" t="s">
        <v>112</v>
      </c>
      <c r="R261" t="s">
        <v>364</v>
      </c>
      <c r="S261" s="1">
        <v>46359</v>
      </c>
      <c r="T261" s="1">
        <v>46329</v>
      </c>
      <c r="U261">
        <v>8</v>
      </c>
      <c r="V261">
        <v>4</v>
      </c>
      <c r="W261" t="str">
        <f>"5.a."</f>
        <v>5.a.</v>
      </c>
      <c r="X261" t="s">
        <v>368</v>
      </c>
      <c r="Y261">
        <v>3534995</v>
      </c>
      <c r="Z261">
        <v>430019</v>
      </c>
      <c r="AA261" t="s">
        <v>94</v>
      </c>
      <c r="AB261" t="s">
        <v>95</v>
      </c>
      <c r="AC261" t="s">
        <v>96</v>
      </c>
      <c r="AD261" t="s">
        <v>95</v>
      </c>
      <c r="AE261" t="s">
        <v>95</v>
      </c>
      <c r="AF261" t="s">
        <v>369</v>
      </c>
      <c r="AN261" t="s">
        <v>123</v>
      </c>
      <c r="AO261" t="str">
        <f>"Overboarded. Still no NZC target."</f>
        <v>Overboarded. Still no NZC target.</v>
      </c>
      <c r="AQ261" s="1">
        <v>46298</v>
      </c>
      <c r="AR261" t="s">
        <v>364</v>
      </c>
      <c r="AS261">
        <v>5100</v>
      </c>
      <c r="AT261" t="s">
        <v>117</v>
      </c>
      <c r="AU261" t="s">
        <v>118</v>
      </c>
      <c r="AV261">
        <v>1494</v>
      </c>
      <c r="AW261">
        <v>1494</v>
      </c>
      <c r="AX261">
        <v>1494</v>
      </c>
      <c r="AY261">
        <v>0</v>
      </c>
      <c r="AZ261" t="s">
        <v>266</v>
      </c>
      <c r="BB261">
        <v>492490</v>
      </c>
      <c r="BC261" t="s">
        <v>99</v>
      </c>
      <c r="BD261" t="s">
        <v>367</v>
      </c>
      <c r="BE261" t="s">
        <v>266</v>
      </c>
      <c r="BG261" t="s">
        <v>100</v>
      </c>
      <c r="BH261" t="str">
        <f t="shared" si="15"/>
        <v>720906099</v>
      </c>
      <c r="BI261" t="s">
        <v>101</v>
      </c>
      <c r="BJ261" t="s">
        <v>123</v>
      </c>
      <c r="BK261" t="s">
        <v>123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</row>
    <row r="262" spans="1:78">
      <c r="A262" t="s">
        <v>205</v>
      </c>
      <c r="B262" t="s">
        <v>358</v>
      </c>
      <c r="C262" t="s">
        <v>154</v>
      </c>
      <c r="D262" t="s">
        <v>359</v>
      </c>
      <c r="E262">
        <v>13105</v>
      </c>
      <c r="F262" t="s">
        <v>360</v>
      </c>
      <c r="G262">
        <v>1463392</v>
      </c>
      <c r="H262">
        <v>1160723</v>
      </c>
      <c r="I262">
        <v>37201733</v>
      </c>
      <c r="J262">
        <v>439197</v>
      </c>
      <c r="L262" t="s">
        <v>361</v>
      </c>
      <c r="M262" t="s">
        <v>362</v>
      </c>
      <c r="N262" t="s">
        <v>87</v>
      </c>
      <c r="O262" t="s">
        <v>363</v>
      </c>
      <c r="P262" t="s">
        <v>363</v>
      </c>
      <c r="Q262" t="s">
        <v>112</v>
      </c>
      <c r="R262" t="s">
        <v>364</v>
      </c>
      <c r="S262" s="1">
        <v>46359</v>
      </c>
      <c r="T262" s="1">
        <v>46329</v>
      </c>
      <c r="U262">
        <v>9</v>
      </c>
      <c r="V262">
        <v>5</v>
      </c>
      <c r="W262" t="str">
        <f>"5.b."</f>
        <v>5.b.</v>
      </c>
      <c r="X262" t="s">
        <v>370</v>
      </c>
      <c r="Y262">
        <v>3534992</v>
      </c>
      <c r="Z262">
        <v>355555</v>
      </c>
      <c r="AA262" t="s">
        <v>94</v>
      </c>
      <c r="AB262" t="s">
        <v>95</v>
      </c>
      <c r="AC262" t="s">
        <v>96</v>
      </c>
      <c r="AD262" t="s">
        <v>95</v>
      </c>
      <c r="AE262" t="s">
        <v>95</v>
      </c>
      <c r="AF262" t="s">
        <v>95</v>
      </c>
      <c r="AN262" t="s">
        <v>95</v>
      </c>
      <c r="AQ262" s="1">
        <v>46298</v>
      </c>
      <c r="AR262" t="s">
        <v>364</v>
      </c>
      <c r="AS262">
        <v>5100</v>
      </c>
      <c r="AT262" t="s">
        <v>117</v>
      </c>
      <c r="AU262" t="s">
        <v>118</v>
      </c>
      <c r="AV262">
        <v>1494</v>
      </c>
      <c r="AW262">
        <v>1494</v>
      </c>
      <c r="AX262">
        <v>1494</v>
      </c>
      <c r="AY262">
        <v>0</v>
      </c>
      <c r="AZ262" t="s">
        <v>266</v>
      </c>
      <c r="BB262">
        <v>492490</v>
      </c>
      <c r="BC262" t="s">
        <v>99</v>
      </c>
      <c r="BD262" t="s">
        <v>367</v>
      </c>
      <c r="BE262" t="s">
        <v>266</v>
      </c>
      <c r="BG262" t="s">
        <v>100</v>
      </c>
      <c r="BH262" t="str">
        <f t="shared" si="15"/>
        <v>720906099</v>
      </c>
      <c r="BI262" t="s">
        <v>101</v>
      </c>
      <c r="BJ262" t="s">
        <v>102</v>
      </c>
      <c r="BK262" t="s">
        <v>102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</row>
    <row r="263" spans="1:78">
      <c r="A263" t="s">
        <v>205</v>
      </c>
      <c r="B263" t="s">
        <v>358</v>
      </c>
      <c r="C263" t="s">
        <v>154</v>
      </c>
      <c r="D263" t="s">
        <v>359</v>
      </c>
      <c r="E263">
        <v>13105</v>
      </c>
      <c r="F263" t="s">
        <v>360</v>
      </c>
      <c r="G263">
        <v>1463392</v>
      </c>
      <c r="H263">
        <v>1160723</v>
      </c>
      <c r="I263">
        <v>37201733</v>
      </c>
      <c r="J263">
        <v>439197</v>
      </c>
      <c r="L263" t="s">
        <v>361</v>
      </c>
      <c r="M263" t="s">
        <v>362</v>
      </c>
      <c r="N263" t="s">
        <v>87</v>
      </c>
      <c r="O263" t="s">
        <v>363</v>
      </c>
      <c r="P263" t="s">
        <v>363</v>
      </c>
      <c r="Q263" t="s">
        <v>112</v>
      </c>
      <c r="R263" t="s">
        <v>364</v>
      </c>
      <c r="S263" s="1">
        <v>46359</v>
      </c>
      <c r="T263" s="1">
        <v>46329</v>
      </c>
      <c r="U263">
        <v>10</v>
      </c>
      <c r="V263">
        <v>6</v>
      </c>
      <c r="W263" t="str">
        <f>"5.c."</f>
        <v>5.c.</v>
      </c>
      <c r="X263" t="s">
        <v>371</v>
      </c>
      <c r="Y263">
        <v>3534994</v>
      </c>
      <c r="Z263">
        <v>430018</v>
      </c>
      <c r="AA263" t="s">
        <v>94</v>
      </c>
      <c r="AB263" t="s">
        <v>95</v>
      </c>
      <c r="AC263" t="s">
        <v>96</v>
      </c>
      <c r="AD263" t="s">
        <v>95</v>
      </c>
      <c r="AE263" t="s">
        <v>95</v>
      </c>
      <c r="AF263" t="s">
        <v>95</v>
      </c>
      <c r="AN263" t="s">
        <v>95</v>
      </c>
      <c r="AQ263" s="1">
        <v>46298</v>
      </c>
      <c r="AR263" t="s">
        <v>364</v>
      </c>
      <c r="AS263">
        <v>5100</v>
      </c>
      <c r="AT263" t="s">
        <v>117</v>
      </c>
      <c r="AU263" t="s">
        <v>118</v>
      </c>
      <c r="AV263">
        <v>1494</v>
      </c>
      <c r="AW263">
        <v>1494</v>
      </c>
      <c r="AX263">
        <v>1494</v>
      </c>
      <c r="AY263">
        <v>0</v>
      </c>
      <c r="AZ263" t="s">
        <v>266</v>
      </c>
      <c r="BB263">
        <v>492490</v>
      </c>
      <c r="BC263" t="s">
        <v>99</v>
      </c>
      <c r="BD263" t="s">
        <v>367</v>
      </c>
      <c r="BE263" t="s">
        <v>266</v>
      </c>
      <c r="BG263" t="s">
        <v>100</v>
      </c>
      <c r="BH263" t="str">
        <f t="shared" si="15"/>
        <v>720906099</v>
      </c>
      <c r="BI263" t="s">
        <v>101</v>
      </c>
      <c r="BJ263" t="s">
        <v>102</v>
      </c>
      <c r="BK263" t="s">
        <v>102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</row>
    <row r="264" spans="1:78">
      <c r="A264" t="s">
        <v>205</v>
      </c>
      <c r="B264" t="s">
        <v>358</v>
      </c>
      <c r="C264" t="s">
        <v>154</v>
      </c>
      <c r="D264" t="s">
        <v>359</v>
      </c>
      <c r="E264">
        <v>13105</v>
      </c>
      <c r="F264" t="s">
        <v>360</v>
      </c>
      <c r="G264">
        <v>1463392</v>
      </c>
      <c r="H264">
        <v>1160723</v>
      </c>
      <c r="I264">
        <v>37201733</v>
      </c>
      <c r="J264">
        <v>439197</v>
      </c>
      <c r="L264" t="s">
        <v>361</v>
      </c>
      <c r="M264" t="s">
        <v>362</v>
      </c>
      <c r="N264" t="s">
        <v>87</v>
      </c>
      <c r="O264" t="s">
        <v>363</v>
      </c>
      <c r="P264" t="s">
        <v>363</v>
      </c>
      <c r="Q264" t="s">
        <v>112</v>
      </c>
      <c r="R264" t="s">
        <v>364</v>
      </c>
      <c r="S264" s="1">
        <v>46359</v>
      </c>
      <c r="T264" s="1">
        <v>46329</v>
      </c>
      <c r="U264">
        <v>11</v>
      </c>
      <c r="V264">
        <v>7</v>
      </c>
      <c r="W264" t="str">
        <f>"5.d."</f>
        <v>5.d.</v>
      </c>
      <c r="X264" t="s">
        <v>372</v>
      </c>
      <c r="Y264">
        <v>3534997</v>
      </c>
      <c r="Z264">
        <v>486114</v>
      </c>
      <c r="AA264" t="s">
        <v>94</v>
      </c>
      <c r="AB264" t="s">
        <v>95</v>
      </c>
      <c r="AC264" t="s">
        <v>96</v>
      </c>
      <c r="AD264" t="s">
        <v>95</v>
      </c>
      <c r="AE264" t="s">
        <v>95</v>
      </c>
      <c r="AF264" t="s">
        <v>369</v>
      </c>
      <c r="AN264" t="s">
        <v>123</v>
      </c>
      <c r="AO264" t="str">
        <f>"Overboarded"</f>
        <v>Overboarded</v>
      </c>
      <c r="AQ264" s="1">
        <v>46298</v>
      </c>
      <c r="AR264" t="s">
        <v>364</v>
      </c>
      <c r="AS264">
        <v>5100</v>
      </c>
      <c r="AT264" t="s">
        <v>117</v>
      </c>
      <c r="AU264" t="s">
        <v>118</v>
      </c>
      <c r="AV264">
        <v>1494</v>
      </c>
      <c r="AW264">
        <v>1494</v>
      </c>
      <c r="AX264">
        <v>1494</v>
      </c>
      <c r="AY264">
        <v>0</v>
      </c>
      <c r="AZ264" t="s">
        <v>266</v>
      </c>
      <c r="BB264">
        <v>492490</v>
      </c>
      <c r="BC264" t="s">
        <v>99</v>
      </c>
      <c r="BD264" t="s">
        <v>367</v>
      </c>
      <c r="BE264" t="s">
        <v>266</v>
      </c>
      <c r="BG264" t="s">
        <v>100</v>
      </c>
      <c r="BH264" t="str">
        <f t="shared" si="15"/>
        <v>720906099</v>
      </c>
      <c r="BI264" t="s">
        <v>101</v>
      </c>
      <c r="BJ264" t="s">
        <v>123</v>
      </c>
      <c r="BK264" t="s">
        <v>123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</row>
    <row r="265" spans="1:78">
      <c r="A265" t="s">
        <v>205</v>
      </c>
      <c r="B265" t="s">
        <v>358</v>
      </c>
      <c r="C265" t="s">
        <v>154</v>
      </c>
      <c r="D265" t="s">
        <v>359</v>
      </c>
      <c r="E265">
        <v>13105</v>
      </c>
      <c r="F265" t="s">
        <v>360</v>
      </c>
      <c r="G265">
        <v>1463392</v>
      </c>
      <c r="H265">
        <v>1160723</v>
      </c>
      <c r="I265">
        <v>37201733</v>
      </c>
      <c r="J265">
        <v>439197</v>
      </c>
      <c r="L265" t="s">
        <v>361</v>
      </c>
      <c r="M265" t="s">
        <v>362</v>
      </c>
      <c r="N265" t="s">
        <v>87</v>
      </c>
      <c r="O265" t="s">
        <v>363</v>
      </c>
      <c r="P265" t="s">
        <v>363</v>
      </c>
      <c r="Q265" t="s">
        <v>112</v>
      </c>
      <c r="R265" t="s">
        <v>364</v>
      </c>
      <c r="S265" s="1">
        <v>46359</v>
      </c>
      <c r="T265" s="1">
        <v>46329</v>
      </c>
      <c r="U265">
        <v>12</v>
      </c>
      <c r="V265">
        <v>8</v>
      </c>
      <c r="W265" t="str">
        <f>"5.e."</f>
        <v>5.e.</v>
      </c>
      <c r="X265" t="s">
        <v>373</v>
      </c>
      <c r="Y265">
        <v>3534993</v>
      </c>
      <c r="Z265">
        <v>380410</v>
      </c>
      <c r="AA265" t="s">
        <v>94</v>
      </c>
      <c r="AB265" t="s">
        <v>95</v>
      </c>
      <c r="AC265" t="s">
        <v>96</v>
      </c>
      <c r="AD265" t="s">
        <v>95</v>
      </c>
      <c r="AE265" t="s">
        <v>95</v>
      </c>
      <c r="AF265" t="s">
        <v>95</v>
      </c>
      <c r="AN265" t="s">
        <v>95</v>
      </c>
      <c r="AQ265" s="1">
        <v>46298</v>
      </c>
      <c r="AR265" t="s">
        <v>364</v>
      </c>
      <c r="AS265">
        <v>5100</v>
      </c>
      <c r="AT265" t="s">
        <v>117</v>
      </c>
      <c r="AU265" t="s">
        <v>118</v>
      </c>
      <c r="AV265">
        <v>1494</v>
      </c>
      <c r="AW265">
        <v>1494</v>
      </c>
      <c r="AX265">
        <v>1494</v>
      </c>
      <c r="AY265">
        <v>0</v>
      </c>
      <c r="AZ265" t="s">
        <v>266</v>
      </c>
      <c r="BB265">
        <v>492490</v>
      </c>
      <c r="BC265" t="s">
        <v>99</v>
      </c>
      <c r="BD265" t="s">
        <v>367</v>
      </c>
      <c r="BE265" t="s">
        <v>266</v>
      </c>
      <c r="BG265" t="s">
        <v>100</v>
      </c>
      <c r="BH265" t="str">
        <f t="shared" si="15"/>
        <v>720906099</v>
      </c>
      <c r="BI265" t="s">
        <v>101</v>
      </c>
      <c r="BJ265" t="s">
        <v>102</v>
      </c>
      <c r="BK265" t="s">
        <v>102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</row>
    <row r="266" spans="1:78">
      <c r="A266" t="s">
        <v>205</v>
      </c>
      <c r="B266" t="s">
        <v>358</v>
      </c>
      <c r="C266" t="s">
        <v>154</v>
      </c>
      <c r="D266" t="s">
        <v>359</v>
      </c>
      <c r="E266">
        <v>13105</v>
      </c>
      <c r="F266" t="s">
        <v>360</v>
      </c>
      <c r="G266">
        <v>1463392</v>
      </c>
      <c r="H266">
        <v>1160723</v>
      </c>
      <c r="I266">
        <v>37201733</v>
      </c>
      <c r="J266">
        <v>439197</v>
      </c>
      <c r="L266" t="s">
        <v>361</v>
      </c>
      <c r="M266" t="s">
        <v>362</v>
      </c>
      <c r="N266" t="s">
        <v>87</v>
      </c>
      <c r="O266" t="s">
        <v>363</v>
      </c>
      <c r="P266" t="s">
        <v>363</v>
      </c>
      <c r="Q266" t="s">
        <v>112</v>
      </c>
      <c r="R266" t="s">
        <v>364</v>
      </c>
      <c r="S266" s="1">
        <v>46359</v>
      </c>
      <c r="T266" s="1">
        <v>46329</v>
      </c>
      <c r="U266">
        <v>13</v>
      </c>
      <c r="V266">
        <v>9</v>
      </c>
      <c r="W266" t="str">
        <f>"5.f."</f>
        <v>5.f.</v>
      </c>
      <c r="X266" t="s">
        <v>374</v>
      </c>
      <c r="Y266">
        <v>3534991</v>
      </c>
      <c r="Z266">
        <v>151431</v>
      </c>
      <c r="AA266" t="s">
        <v>94</v>
      </c>
      <c r="AB266" t="s">
        <v>95</v>
      </c>
      <c r="AC266" t="s">
        <v>96</v>
      </c>
      <c r="AD266" t="s">
        <v>369</v>
      </c>
      <c r="AE266" t="s">
        <v>123</v>
      </c>
      <c r="AF266" t="s">
        <v>369</v>
      </c>
      <c r="AN266" t="s">
        <v>123</v>
      </c>
      <c r="AO266" t="str">
        <f>" Insufficient board and sub-committee independence due to tenure"</f>
        <v xml:space="preserve"> Insufficient board and sub-committee independence due to tenure</v>
      </c>
      <c r="AP266" t="s">
        <v>375</v>
      </c>
      <c r="AQ266" s="1">
        <v>46298</v>
      </c>
      <c r="AR266" t="s">
        <v>364</v>
      </c>
      <c r="AS266">
        <v>5100</v>
      </c>
      <c r="AT266" t="s">
        <v>117</v>
      </c>
      <c r="AU266" t="s">
        <v>118</v>
      </c>
      <c r="AV266">
        <v>1494</v>
      </c>
      <c r="AW266">
        <v>1494</v>
      </c>
      <c r="AX266">
        <v>1494</v>
      </c>
      <c r="AY266">
        <v>0</v>
      </c>
      <c r="AZ266" t="s">
        <v>266</v>
      </c>
      <c r="BB266">
        <v>492490</v>
      </c>
      <c r="BC266" t="s">
        <v>99</v>
      </c>
      <c r="BD266" t="s">
        <v>367</v>
      </c>
      <c r="BE266" t="s">
        <v>266</v>
      </c>
      <c r="BG266" t="s">
        <v>100</v>
      </c>
      <c r="BH266" t="str">
        <f t="shared" si="15"/>
        <v>720906099</v>
      </c>
      <c r="BI266" t="s">
        <v>101</v>
      </c>
      <c r="BJ266" t="s">
        <v>123</v>
      </c>
      <c r="BK266" t="s">
        <v>102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</row>
    <row r="267" spans="1:78">
      <c r="A267" t="s">
        <v>205</v>
      </c>
      <c r="B267" t="s">
        <v>358</v>
      </c>
      <c r="C267" t="s">
        <v>154</v>
      </c>
      <c r="D267" t="s">
        <v>359</v>
      </c>
      <c r="E267">
        <v>13105</v>
      </c>
      <c r="F267" t="s">
        <v>360</v>
      </c>
      <c r="G267">
        <v>1463392</v>
      </c>
      <c r="H267">
        <v>1160723</v>
      </c>
      <c r="I267">
        <v>37201733</v>
      </c>
      <c r="J267">
        <v>439197</v>
      </c>
      <c r="L267" t="s">
        <v>361</v>
      </c>
      <c r="M267" t="s">
        <v>362</v>
      </c>
      <c r="N267" t="s">
        <v>87</v>
      </c>
      <c r="O267" t="s">
        <v>363</v>
      </c>
      <c r="P267" t="s">
        <v>363</v>
      </c>
      <c r="Q267" t="s">
        <v>112</v>
      </c>
      <c r="R267" t="s">
        <v>364</v>
      </c>
      <c r="S267" s="1">
        <v>46359</v>
      </c>
      <c r="T267" s="1">
        <v>46329</v>
      </c>
      <c r="U267">
        <v>14</v>
      </c>
      <c r="V267">
        <v>10</v>
      </c>
      <c r="W267" t="str">
        <f>"6"</f>
        <v>6</v>
      </c>
      <c r="X267" t="s">
        <v>376</v>
      </c>
      <c r="AA267" t="s">
        <v>94</v>
      </c>
      <c r="AB267" t="s">
        <v>95</v>
      </c>
      <c r="AC267" t="s">
        <v>96</v>
      </c>
      <c r="AD267" t="s">
        <v>95</v>
      </c>
      <c r="AE267" t="s">
        <v>95</v>
      </c>
      <c r="AF267" t="s">
        <v>95</v>
      </c>
      <c r="AN267" t="s">
        <v>95</v>
      </c>
      <c r="AQ267" s="1">
        <v>46298</v>
      </c>
      <c r="AR267" t="s">
        <v>364</v>
      </c>
      <c r="AS267">
        <v>5200</v>
      </c>
      <c r="AT267" t="s">
        <v>126</v>
      </c>
      <c r="AU267" t="s">
        <v>190</v>
      </c>
      <c r="AV267">
        <v>1494</v>
      </c>
      <c r="AW267">
        <v>1494</v>
      </c>
      <c r="AX267">
        <v>1494</v>
      </c>
      <c r="AY267">
        <v>0</v>
      </c>
      <c r="AZ267" t="s">
        <v>266</v>
      </c>
      <c r="BB267">
        <v>492490</v>
      </c>
      <c r="BC267" t="s">
        <v>99</v>
      </c>
      <c r="BD267" t="s">
        <v>367</v>
      </c>
      <c r="BE267" t="s">
        <v>266</v>
      </c>
      <c r="BG267" t="s">
        <v>100</v>
      </c>
      <c r="BH267" t="str">
        <f t="shared" si="15"/>
        <v>720906099</v>
      </c>
      <c r="BI267" t="s">
        <v>101</v>
      </c>
      <c r="BJ267" t="s">
        <v>102</v>
      </c>
      <c r="BK267" t="s">
        <v>102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</row>
    <row r="268" spans="1:78">
      <c r="A268" t="s">
        <v>205</v>
      </c>
      <c r="B268" t="s">
        <v>358</v>
      </c>
      <c r="C268" t="s">
        <v>154</v>
      </c>
      <c r="D268" t="s">
        <v>359</v>
      </c>
      <c r="E268">
        <v>13105</v>
      </c>
      <c r="F268" t="s">
        <v>360</v>
      </c>
      <c r="G268">
        <v>1463392</v>
      </c>
      <c r="H268">
        <v>1160723</v>
      </c>
      <c r="I268">
        <v>37201733</v>
      </c>
      <c r="J268">
        <v>439197</v>
      </c>
      <c r="L268" t="s">
        <v>361</v>
      </c>
      <c r="M268" t="s">
        <v>362</v>
      </c>
      <c r="N268" t="s">
        <v>87</v>
      </c>
      <c r="O268" t="s">
        <v>363</v>
      </c>
      <c r="P268" t="s">
        <v>363</v>
      </c>
      <c r="Q268" t="s">
        <v>112</v>
      </c>
      <c r="R268" t="s">
        <v>364</v>
      </c>
      <c r="S268" s="1">
        <v>46359</v>
      </c>
      <c r="T268" s="1">
        <v>46329</v>
      </c>
      <c r="U268">
        <v>15</v>
      </c>
      <c r="V268">
        <v>11</v>
      </c>
      <c r="W268" t="str">
        <f>"7.a."</f>
        <v>7.a.</v>
      </c>
      <c r="X268" t="s">
        <v>214</v>
      </c>
      <c r="AA268" t="s">
        <v>94</v>
      </c>
      <c r="AB268" t="s">
        <v>95</v>
      </c>
      <c r="AC268" t="s">
        <v>96</v>
      </c>
      <c r="AD268" t="s">
        <v>123</v>
      </c>
      <c r="AE268" t="s">
        <v>123</v>
      </c>
      <c r="AF268" t="s">
        <v>123</v>
      </c>
      <c r="AN268" t="s">
        <v>123</v>
      </c>
      <c r="AO268" t="str">
        <f>"Research Notes: A vote AGAINST this item is warranted as the proposed fees are considered excessive in relation to peers. Rationale: Voting inline with ISS on excessive board pay - the above amounts ignore a substantial additional pay in restricted share"</f>
        <v>Research Notes: A vote AGAINST this item is warranted as the proposed fees are considered excessive in relation to peers. Rationale: Voting inline with ISS on excessive board pay - the above amounts ignore a substantial additional pay in restricted share</v>
      </c>
      <c r="AP268" t="str">
        <f>"Insufficient response to shareholder dissent"</f>
        <v>Insufficient response to shareholder dissent</v>
      </c>
      <c r="AQ268" s="1">
        <v>46298</v>
      </c>
      <c r="AR268" t="s">
        <v>364</v>
      </c>
      <c r="AS268">
        <v>5505</v>
      </c>
      <c r="AT268" t="s">
        <v>128</v>
      </c>
      <c r="AU268" t="s">
        <v>257</v>
      </c>
      <c r="AV268">
        <v>1494</v>
      </c>
      <c r="AW268">
        <v>1494</v>
      </c>
      <c r="AX268">
        <v>1494</v>
      </c>
      <c r="AY268">
        <v>0</v>
      </c>
      <c r="AZ268" t="s">
        <v>266</v>
      </c>
      <c r="BB268">
        <v>492490</v>
      </c>
      <c r="BC268" t="s">
        <v>99</v>
      </c>
      <c r="BD268" t="s">
        <v>367</v>
      </c>
      <c r="BE268" t="s">
        <v>266</v>
      </c>
      <c r="BG268" t="s">
        <v>100</v>
      </c>
      <c r="BH268" t="str">
        <f t="shared" si="15"/>
        <v>720906099</v>
      </c>
      <c r="BI268" t="s">
        <v>101</v>
      </c>
      <c r="BJ268" t="s">
        <v>102</v>
      </c>
      <c r="BK268" t="s">
        <v>102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</row>
    <row r="269" spans="1:78">
      <c r="A269" t="s">
        <v>205</v>
      </c>
      <c r="B269" t="s">
        <v>358</v>
      </c>
      <c r="C269" t="s">
        <v>154</v>
      </c>
      <c r="D269" t="s">
        <v>359</v>
      </c>
      <c r="E269">
        <v>13105</v>
      </c>
      <c r="F269" t="s">
        <v>360</v>
      </c>
      <c r="G269">
        <v>1463392</v>
      </c>
      <c r="H269">
        <v>1160723</v>
      </c>
      <c r="I269">
        <v>37201733</v>
      </c>
      <c r="J269">
        <v>439197</v>
      </c>
      <c r="L269" t="s">
        <v>361</v>
      </c>
      <c r="M269" t="s">
        <v>362</v>
      </c>
      <c r="N269" t="s">
        <v>87</v>
      </c>
      <c r="O269" t="s">
        <v>363</v>
      </c>
      <c r="P269" t="s">
        <v>363</v>
      </c>
      <c r="Q269" t="s">
        <v>112</v>
      </c>
      <c r="R269" t="s">
        <v>364</v>
      </c>
      <c r="S269" s="1">
        <v>46359</v>
      </c>
      <c r="T269" s="1">
        <v>46329</v>
      </c>
      <c r="U269">
        <v>16</v>
      </c>
      <c r="V269">
        <v>12</v>
      </c>
      <c r="W269" t="str">
        <f>"7.b."</f>
        <v>7.b.</v>
      </c>
      <c r="X269" t="s">
        <v>377</v>
      </c>
      <c r="AA269" t="s">
        <v>94</v>
      </c>
      <c r="AB269" t="s">
        <v>95</v>
      </c>
      <c r="AC269" t="s">
        <v>96</v>
      </c>
      <c r="AD269" t="s">
        <v>95</v>
      </c>
      <c r="AE269" t="s">
        <v>95</v>
      </c>
      <c r="AF269" t="s">
        <v>95</v>
      </c>
      <c r="AN269" t="s">
        <v>95</v>
      </c>
      <c r="AQ269" s="1">
        <v>46298</v>
      </c>
      <c r="AR269" t="s">
        <v>364</v>
      </c>
      <c r="AS269">
        <v>5820</v>
      </c>
      <c r="AT269" t="s">
        <v>198</v>
      </c>
      <c r="AU269" t="s">
        <v>378</v>
      </c>
      <c r="AV269">
        <v>1494</v>
      </c>
      <c r="AW269">
        <v>1494</v>
      </c>
      <c r="AX269">
        <v>1494</v>
      </c>
      <c r="AY269">
        <v>0</v>
      </c>
      <c r="AZ269" t="s">
        <v>266</v>
      </c>
      <c r="BB269">
        <v>492490</v>
      </c>
      <c r="BC269" t="s">
        <v>99</v>
      </c>
      <c r="BD269" t="s">
        <v>367</v>
      </c>
      <c r="BE269" t="s">
        <v>266</v>
      </c>
      <c r="BG269" t="s">
        <v>100</v>
      </c>
      <c r="BH269" t="str">
        <f t="shared" si="15"/>
        <v>720906099</v>
      </c>
      <c r="BI269" t="s">
        <v>101</v>
      </c>
      <c r="BJ269" t="s">
        <v>102</v>
      </c>
      <c r="BK269" t="s">
        <v>102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</row>
    <row r="270" spans="1:78">
      <c r="A270" t="s">
        <v>205</v>
      </c>
      <c r="B270" t="s">
        <v>358</v>
      </c>
      <c r="C270" t="s">
        <v>154</v>
      </c>
      <c r="D270" t="s">
        <v>359</v>
      </c>
      <c r="E270">
        <v>13105</v>
      </c>
      <c r="F270" t="s">
        <v>360</v>
      </c>
      <c r="G270">
        <v>1463392</v>
      </c>
      <c r="H270">
        <v>1160723</v>
      </c>
      <c r="I270">
        <v>37201733</v>
      </c>
      <c r="J270">
        <v>439197</v>
      </c>
      <c r="L270" t="s">
        <v>361</v>
      </c>
      <c r="M270" t="s">
        <v>362</v>
      </c>
      <c r="N270" t="s">
        <v>87</v>
      </c>
      <c r="O270" t="s">
        <v>363</v>
      </c>
      <c r="P270" t="s">
        <v>363</v>
      </c>
      <c r="Q270" t="s">
        <v>112</v>
      </c>
      <c r="R270" t="s">
        <v>364</v>
      </c>
      <c r="S270" s="1">
        <v>46359</v>
      </c>
      <c r="T270" s="1">
        <v>46329</v>
      </c>
      <c r="U270">
        <v>17</v>
      </c>
      <c r="V270">
        <v>13</v>
      </c>
      <c r="W270" t="str">
        <f>"8"</f>
        <v>8</v>
      </c>
      <c r="X270" t="s">
        <v>379</v>
      </c>
      <c r="AA270" t="s">
        <v>94</v>
      </c>
      <c r="AB270" t="s">
        <v>95</v>
      </c>
      <c r="AC270" t="s">
        <v>96</v>
      </c>
      <c r="AD270" t="s">
        <v>95</v>
      </c>
      <c r="AE270" t="s">
        <v>95</v>
      </c>
      <c r="AF270" t="s">
        <v>95</v>
      </c>
      <c r="AN270" t="s">
        <v>95</v>
      </c>
      <c r="AQ270" s="1">
        <v>46298</v>
      </c>
      <c r="AR270" t="s">
        <v>364</v>
      </c>
      <c r="AS270">
        <v>5750</v>
      </c>
      <c r="AT270" t="s">
        <v>145</v>
      </c>
      <c r="AU270" t="s">
        <v>379</v>
      </c>
      <c r="AV270">
        <v>1494</v>
      </c>
      <c r="AW270">
        <v>1494</v>
      </c>
      <c r="AX270">
        <v>1494</v>
      </c>
      <c r="AY270">
        <v>0</v>
      </c>
      <c r="AZ270" t="s">
        <v>266</v>
      </c>
      <c r="BB270">
        <v>492490</v>
      </c>
      <c r="BC270" t="s">
        <v>99</v>
      </c>
      <c r="BD270" t="s">
        <v>367</v>
      </c>
      <c r="BE270" t="s">
        <v>266</v>
      </c>
      <c r="BG270" t="s">
        <v>100</v>
      </c>
      <c r="BH270" t="str">
        <f t="shared" si="15"/>
        <v>720906099</v>
      </c>
      <c r="BI270" t="s">
        <v>101</v>
      </c>
      <c r="BJ270" t="s">
        <v>102</v>
      </c>
      <c r="BK270" t="s">
        <v>102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</row>
    <row r="271" spans="1:78">
      <c r="A271" t="s">
        <v>152</v>
      </c>
      <c r="B271" t="s">
        <v>380</v>
      </c>
      <c r="C271" t="s">
        <v>154</v>
      </c>
      <c r="D271" t="s">
        <v>381</v>
      </c>
      <c r="E271">
        <v>5891</v>
      </c>
      <c r="F271" t="s">
        <v>382</v>
      </c>
      <c r="G271">
        <v>1464860</v>
      </c>
      <c r="H271">
        <v>1161796</v>
      </c>
      <c r="I271">
        <v>37219592</v>
      </c>
      <c r="J271">
        <v>440129</v>
      </c>
      <c r="L271" t="s">
        <v>383</v>
      </c>
      <c r="M271" t="s">
        <v>384</v>
      </c>
      <c r="N271" t="s">
        <v>87</v>
      </c>
      <c r="O271" t="s">
        <v>363</v>
      </c>
      <c r="P271" t="s">
        <v>363</v>
      </c>
      <c r="Q271" t="s">
        <v>112</v>
      </c>
      <c r="R271" t="s">
        <v>385</v>
      </c>
      <c r="S271" t="s">
        <v>364</v>
      </c>
      <c r="T271" t="s">
        <v>340</v>
      </c>
      <c r="U271">
        <v>5</v>
      </c>
      <c r="V271">
        <v>1</v>
      </c>
      <c r="W271" t="str">
        <f>"2"</f>
        <v>2</v>
      </c>
      <c r="X271" t="s">
        <v>211</v>
      </c>
      <c r="AA271" t="s">
        <v>94</v>
      </c>
      <c r="AB271" t="s">
        <v>95</v>
      </c>
      <c r="AC271" t="s">
        <v>96</v>
      </c>
      <c r="AD271" t="s">
        <v>95</v>
      </c>
      <c r="AE271" t="s">
        <v>95</v>
      </c>
      <c r="AF271" t="s">
        <v>95</v>
      </c>
      <c r="AN271" t="s">
        <v>95</v>
      </c>
      <c r="AQ271" t="s">
        <v>340</v>
      </c>
      <c r="AR271" t="s">
        <v>386</v>
      </c>
      <c r="AS271">
        <v>5030</v>
      </c>
      <c r="AT271" t="s">
        <v>126</v>
      </c>
      <c r="AU271" t="s">
        <v>212</v>
      </c>
      <c r="AV271">
        <v>3771</v>
      </c>
      <c r="AW271">
        <v>3771</v>
      </c>
      <c r="AX271">
        <v>3771</v>
      </c>
      <c r="AY271">
        <v>0</v>
      </c>
      <c r="AZ271" t="s">
        <v>290</v>
      </c>
      <c r="BB271">
        <v>492510</v>
      </c>
      <c r="BC271" t="s">
        <v>99</v>
      </c>
      <c r="BD271" t="s">
        <v>268</v>
      </c>
      <c r="BE271" t="s">
        <v>290</v>
      </c>
      <c r="BF271" s="1">
        <v>46268</v>
      </c>
      <c r="BG271" t="s">
        <v>100</v>
      </c>
      <c r="BH271" t="str">
        <f t="shared" ref="BH271:BH302" si="16">"720914577"</f>
        <v>720914577</v>
      </c>
      <c r="BI271" t="s">
        <v>101</v>
      </c>
      <c r="BJ271" t="s">
        <v>102</v>
      </c>
      <c r="BK271" t="s">
        <v>102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</row>
    <row r="272" spans="1:78">
      <c r="A272" t="s">
        <v>152</v>
      </c>
      <c r="B272" t="s">
        <v>380</v>
      </c>
      <c r="C272" t="s">
        <v>154</v>
      </c>
      <c r="D272" t="s">
        <v>381</v>
      </c>
      <c r="E272">
        <v>5891</v>
      </c>
      <c r="F272" t="s">
        <v>382</v>
      </c>
      <c r="G272">
        <v>1464860</v>
      </c>
      <c r="H272">
        <v>1161796</v>
      </c>
      <c r="I272">
        <v>37219592</v>
      </c>
      <c r="J272">
        <v>440129</v>
      </c>
      <c r="L272" t="s">
        <v>383</v>
      </c>
      <c r="M272" t="s">
        <v>384</v>
      </c>
      <c r="N272" t="s">
        <v>87</v>
      </c>
      <c r="O272" t="s">
        <v>363</v>
      </c>
      <c r="P272" t="s">
        <v>363</v>
      </c>
      <c r="Q272" t="s">
        <v>112</v>
      </c>
      <c r="R272" t="s">
        <v>385</v>
      </c>
      <c r="S272" t="s">
        <v>364</v>
      </c>
      <c r="T272" t="s">
        <v>340</v>
      </c>
      <c r="U272">
        <v>6</v>
      </c>
      <c r="V272">
        <v>2</v>
      </c>
      <c r="W272" t="str">
        <f>"3"</f>
        <v>3</v>
      </c>
      <c r="X272" t="s">
        <v>162</v>
      </c>
      <c r="AA272" t="s">
        <v>94</v>
      </c>
      <c r="AB272" t="s">
        <v>95</v>
      </c>
      <c r="AC272" t="s">
        <v>96</v>
      </c>
      <c r="AD272" t="s">
        <v>95</v>
      </c>
      <c r="AE272" t="s">
        <v>95</v>
      </c>
      <c r="AF272" t="s">
        <v>95</v>
      </c>
      <c r="AN272" t="s">
        <v>95</v>
      </c>
      <c r="AQ272" t="s">
        <v>340</v>
      </c>
      <c r="AR272" t="s">
        <v>386</v>
      </c>
      <c r="AS272">
        <v>5000</v>
      </c>
      <c r="AT272" t="s">
        <v>126</v>
      </c>
      <c r="AU272" t="s">
        <v>162</v>
      </c>
      <c r="AV272">
        <v>3771</v>
      </c>
      <c r="AW272">
        <v>3771</v>
      </c>
      <c r="AX272">
        <v>3771</v>
      </c>
      <c r="AY272">
        <v>0</v>
      </c>
      <c r="AZ272" t="s">
        <v>290</v>
      </c>
      <c r="BB272">
        <v>492510</v>
      </c>
      <c r="BC272" t="s">
        <v>99</v>
      </c>
      <c r="BD272" t="s">
        <v>268</v>
      </c>
      <c r="BE272" t="s">
        <v>290</v>
      </c>
      <c r="BF272" s="1">
        <v>46268</v>
      </c>
      <c r="BG272" t="s">
        <v>100</v>
      </c>
      <c r="BH272" t="str">
        <f t="shared" si="16"/>
        <v>720914577</v>
      </c>
      <c r="BI272" t="s">
        <v>101</v>
      </c>
      <c r="BJ272" t="s">
        <v>102</v>
      </c>
      <c r="BK272" t="s">
        <v>102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</row>
    <row r="273" spans="1:78">
      <c r="A273" t="s">
        <v>152</v>
      </c>
      <c r="B273" t="s">
        <v>380</v>
      </c>
      <c r="C273" t="s">
        <v>154</v>
      </c>
      <c r="D273" t="s">
        <v>381</v>
      </c>
      <c r="E273">
        <v>5891</v>
      </c>
      <c r="F273" t="s">
        <v>382</v>
      </c>
      <c r="G273">
        <v>1464860</v>
      </c>
      <c r="H273">
        <v>1161796</v>
      </c>
      <c r="I273">
        <v>37219592</v>
      </c>
      <c r="J273">
        <v>440129</v>
      </c>
      <c r="L273" t="s">
        <v>383</v>
      </c>
      <c r="M273" t="s">
        <v>384</v>
      </c>
      <c r="N273" t="s">
        <v>87</v>
      </c>
      <c r="O273" t="s">
        <v>363</v>
      </c>
      <c r="P273" t="s">
        <v>363</v>
      </c>
      <c r="Q273" t="s">
        <v>112</v>
      </c>
      <c r="R273" t="s">
        <v>385</v>
      </c>
      <c r="S273" t="s">
        <v>364</v>
      </c>
      <c r="T273" t="s">
        <v>340</v>
      </c>
      <c r="U273">
        <v>7</v>
      </c>
      <c r="V273">
        <v>3</v>
      </c>
      <c r="W273" t="str">
        <f>"4"</f>
        <v>4</v>
      </c>
      <c r="X273" t="s">
        <v>193</v>
      </c>
      <c r="AA273" t="s">
        <v>94</v>
      </c>
      <c r="AB273" t="s">
        <v>95</v>
      </c>
      <c r="AC273" t="s">
        <v>96</v>
      </c>
      <c r="AD273" t="s">
        <v>123</v>
      </c>
      <c r="AE273" t="s">
        <v>123</v>
      </c>
      <c r="AF273" t="s">
        <v>95</v>
      </c>
      <c r="AN273" t="s">
        <v>95</v>
      </c>
      <c r="AQ273" t="s">
        <v>340</v>
      </c>
      <c r="AR273" t="s">
        <v>386</v>
      </c>
      <c r="AS273">
        <v>5600</v>
      </c>
      <c r="AT273" t="s">
        <v>128</v>
      </c>
      <c r="AU273" t="s">
        <v>194</v>
      </c>
      <c r="AV273">
        <v>3771</v>
      </c>
      <c r="AW273">
        <v>3771</v>
      </c>
      <c r="AX273">
        <v>3771</v>
      </c>
      <c r="AY273">
        <v>0</v>
      </c>
      <c r="AZ273" t="s">
        <v>290</v>
      </c>
      <c r="BB273">
        <v>492510</v>
      </c>
      <c r="BC273" t="s">
        <v>99</v>
      </c>
      <c r="BD273" t="s">
        <v>268</v>
      </c>
      <c r="BE273" t="s">
        <v>290</v>
      </c>
      <c r="BF273" s="1">
        <v>46268</v>
      </c>
      <c r="BG273" t="s">
        <v>100</v>
      </c>
      <c r="BH273" t="str">
        <f t="shared" si="16"/>
        <v>720914577</v>
      </c>
      <c r="BI273" t="s">
        <v>101</v>
      </c>
      <c r="BJ273" t="s">
        <v>123</v>
      </c>
      <c r="BK273" t="s">
        <v>123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</row>
    <row r="274" spans="1:78">
      <c r="A274" t="s">
        <v>152</v>
      </c>
      <c r="B274" t="s">
        <v>380</v>
      </c>
      <c r="C274" t="s">
        <v>154</v>
      </c>
      <c r="D274" t="s">
        <v>381</v>
      </c>
      <c r="E274">
        <v>5891</v>
      </c>
      <c r="F274" t="s">
        <v>382</v>
      </c>
      <c r="G274">
        <v>1464860</v>
      </c>
      <c r="H274">
        <v>1161796</v>
      </c>
      <c r="I274">
        <v>37219592</v>
      </c>
      <c r="J274">
        <v>440129</v>
      </c>
      <c r="L274" t="s">
        <v>383</v>
      </c>
      <c r="M274" t="s">
        <v>384</v>
      </c>
      <c r="N274" t="s">
        <v>87</v>
      </c>
      <c r="O274" t="s">
        <v>363</v>
      </c>
      <c r="P274" t="s">
        <v>363</v>
      </c>
      <c r="Q274" t="s">
        <v>112</v>
      </c>
      <c r="R274" t="s">
        <v>385</v>
      </c>
      <c r="S274" t="s">
        <v>364</v>
      </c>
      <c r="T274" t="s">
        <v>340</v>
      </c>
      <c r="U274">
        <v>8</v>
      </c>
      <c r="V274">
        <v>4</v>
      </c>
      <c r="W274" t="str">
        <f>"5.1"</f>
        <v>5.1</v>
      </c>
      <c r="X274" t="s">
        <v>387</v>
      </c>
      <c r="AA274" t="s">
        <v>94</v>
      </c>
      <c r="AB274" t="s">
        <v>95</v>
      </c>
      <c r="AC274" t="s">
        <v>96</v>
      </c>
      <c r="AD274" t="s">
        <v>95</v>
      </c>
      <c r="AE274" t="s">
        <v>95</v>
      </c>
      <c r="AF274" t="s">
        <v>95</v>
      </c>
      <c r="AN274" t="s">
        <v>95</v>
      </c>
      <c r="AQ274" t="s">
        <v>340</v>
      </c>
      <c r="AR274" t="s">
        <v>386</v>
      </c>
      <c r="AS274">
        <v>5500</v>
      </c>
      <c r="AT274" t="s">
        <v>128</v>
      </c>
      <c r="AU274" t="s">
        <v>214</v>
      </c>
      <c r="AV274">
        <v>3771</v>
      </c>
      <c r="AW274">
        <v>3771</v>
      </c>
      <c r="AX274">
        <v>3771</v>
      </c>
      <c r="AY274">
        <v>0</v>
      </c>
      <c r="AZ274" t="s">
        <v>290</v>
      </c>
      <c r="BB274">
        <v>492510</v>
      </c>
      <c r="BC274" t="s">
        <v>99</v>
      </c>
      <c r="BD274" t="s">
        <v>268</v>
      </c>
      <c r="BE274" t="s">
        <v>290</v>
      </c>
      <c r="BF274" s="1">
        <v>46268</v>
      </c>
      <c r="BG274" t="s">
        <v>100</v>
      </c>
      <c r="BH274" t="str">
        <f t="shared" si="16"/>
        <v>720914577</v>
      </c>
      <c r="BI274" t="s">
        <v>101</v>
      </c>
      <c r="BJ274" t="s">
        <v>102</v>
      </c>
      <c r="BK274" t="s">
        <v>102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</row>
    <row r="275" spans="1:78">
      <c r="A275" t="s">
        <v>152</v>
      </c>
      <c r="B275" t="s">
        <v>380</v>
      </c>
      <c r="C275" t="s">
        <v>154</v>
      </c>
      <c r="D275" t="s">
        <v>381</v>
      </c>
      <c r="E275">
        <v>5891</v>
      </c>
      <c r="F275" t="s">
        <v>382</v>
      </c>
      <c r="G275">
        <v>1464860</v>
      </c>
      <c r="H275">
        <v>1161796</v>
      </c>
      <c r="I275">
        <v>37219592</v>
      </c>
      <c r="J275">
        <v>440129</v>
      </c>
      <c r="L275" t="s">
        <v>383</v>
      </c>
      <c r="M275" t="s">
        <v>384</v>
      </c>
      <c r="N275" t="s">
        <v>87</v>
      </c>
      <c r="O275" t="s">
        <v>363</v>
      </c>
      <c r="P275" t="s">
        <v>363</v>
      </c>
      <c r="Q275" t="s">
        <v>112</v>
      </c>
      <c r="R275" t="s">
        <v>385</v>
      </c>
      <c r="S275" t="s">
        <v>364</v>
      </c>
      <c r="T275" t="s">
        <v>340</v>
      </c>
      <c r="U275">
        <v>9</v>
      </c>
      <c r="V275">
        <v>5</v>
      </c>
      <c r="W275" t="str">
        <f>"5.2"</f>
        <v>5.2</v>
      </c>
      <c r="X275" t="s">
        <v>388</v>
      </c>
      <c r="AA275" t="s">
        <v>94</v>
      </c>
      <c r="AB275" t="s">
        <v>95</v>
      </c>
      <c r="AC275" t="s">
        <v>96</v>
      </c>
      <c r="AD275" t="s">
        <v>95</v>
      </c>
      <c r="AE275" t="s">
        <v>95</v>
      </c>
      <c r="AF275" t="s">
        <v>95</v>
      </c>
      <c r="AN275" t="s">
        <v>95</v>
      </c>
      <c r="AQ275" t="s">
        <v>340</v>
      </c>
      <c r="AR275" t="s">
        <v>386</v>
      </c>
      <c r="AS275">
        <v>5505</v>
      </c>
      <c r="AT275" t="s">
        <v>128</v>
      </c>
      <c r="AU275" t="s">
        <v>257</v>
      </c>
      <c r="AV275">
        <v>3771</v>
      </c>
      <c r="AW275">
        <v>3771</v>
      </c>
      <c r="AX275">
        <v>3771</v>
      </c>
      <c r="AY275">
        <v>0</v>
      </c>
      <c r="AZ275" t="s">
        <v>290</v>
      </c>
      <c r="BB275">
        <v>492510</v>
      </c>
      <c r="BC275" t="s">
        <v>99</v>
      </c>
      <c r="BD275" t="s">
        <v>268</v>
      </c>
      <c r="BE275" t="s">
        <v>290</v>
      </c>
      <c r="BF275" s="1">
        <v>46268</v>
      </c>
      <c r="BG275" t="s">
        <v>100</v>
      </c>
      <c r="BH275" t="str">
        <f t="shared" si="16"/>
        <v>720914577</v>
      </c>
      <c r="BI275" t="s">
        <v>101</v>
      </c>
      <c r="BJ275" t="s">
        <v>102</v>
      </c>
      <c r="BK275" t="s">
        <v>102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</row>
    <row r="276" spans="1:78">
      <c r="A276" t="s">
        <v>152</v>
      </c>
      <c r="B276" t="s">
        <v>380</v>
      </c>
      <c r="C276" t="s">
        <v>154</v>
      </c>
      <c r="D276" t="s">
        <v>381</v>
      </c>
      <c r="E276">
        <v>5891</v>
      </c>
      <c r="F276" t="s">
        <v>382</v>
      </c>
      <c r="G276">
        <v>1464860</v>
      </c>
      <c r="H276">
        <v>1161796</v>
      </c>
      <c r="I276">
        <v>37219592</v>
      </c>
      <c r="J276">
        <v>440129</v>
      </c>
      <c r="L276" t="s">
        <v>383</v>
      </c>
      <c r="M276" t="s">
        <v>384</v>
      </c>
      <c r="N276" t="s">
        <v>87</v>
      </c>
      <c r="O276" t="s">
        <v>363</v>
      </c>
      <c r="P276" t="s">
        <v>363</v>
      </c>
      <c r="Q276" t="s">
        <v>112</v>
      </c>
      <c r="R276" t="s">
        <v>385</v>
      </c>
      <c r="S276" t="s">
        <v>364</v>
      </c>
      <c r="T276" t="s">
        <v>340</v>
      </c>
      <c r="U276">
        <v>11</v>
      </c>
      <c r="V276">
        <v>6</v>
      </c>
      <c r="W276" t="str">
        <f>"6.1.1"</f>
        <v>6.1.1</v>
      </c>
      <c r="X276" t="s">
        <v>389</v>
      </c>
      <c r="Y276">
        <v>3536296</v>
      </c>
      <c r="Z276">
        <v>380404</v>
      </c>
      <c r="AA276" t="s">
        <v>94</v>
      </c>
      <c r="AB276" t="s">
        <v>95</v>
      </c>
      <c r="AC276" t="s">
        <v>96</v>
      </c>
      <c r="AD276" t="s">
        <v>369</v>
      </c>
      <c r="AE276" t="s">
        <v>369</v>
      </c>
      <c r="AF276" t="s">
        <v>95</v>
      </c>
      <c r="AN276" t="s">
        <v>95</v>
      </c>
      <c r="AQ276" t="s">
        <v>340</v>
      </c>
      <c r="AR276" t="s">
        <v>386</v>
      </c>
      <c r="AS276">
        <v>5102</v>
      </c>
      <c r="AT276" t="s">
        <v>117</v>
      </c>
      <c r="AU276" t="s">
        <v>390</v>
      </c>
      <c r="AV276">
        <v>3771</v>
      </c>
      <c r="AW276">
        <v>3771</v>
      </c>
      <c r="AX276">
        <v>3771</v>
      </c>
      <c r="AY276">
        <v>0</v>
      </c>
      <c r="AZ276" t="s">
        <v>290</v>
      </c>
      <c r="BB276">
        <v>492510</v>
      </c>
      <c r="BC276" t="s">
        <v>99</v>
      </c>
      <c r="BD276" t="s">
        <v>268</v>
      </c>
      <c r="BE276" t="s">
        <v>290</v>
      </c>
      <c r="BF276" s="1">
        <v>46268</v>
      </c>
      <c r="BG276" t="s">
        <v>100</v>
      </c>
      <c r="BH276" t="str">
        <f t="shared" si="16"/>
        <v>720914577</v>
      </c>
      <c r="BI276" t="s">
        <v>101</v>
      </c>
      <c r="BJ276" t="s">
        <v>123</v>
      </c>
      <c r="BK276" t="s">
        <v>123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</row>
    <row r="277" spans="1:78">
      <c r="A277" t="s">
        <v>152</v>
      </c>
      <c r="B277" t="s">
        <v>380</v>
      </c>
      <c r="C277" t="s">
        <v>154</v>
      </c>
      <c r="D277" t="s">
        <v>381</v>
      </c>
      <c r="E277">
        <v>5891</v>
      </c>
      <c r="F277" t="s">
        <v>382</v>
      </c>
      <c r="G277">
        <v>1464860</v>
      </c>
      <c r="H277">
        <v>1161796</v>
      </c>
      <c r="I277">
        <v>37219592</v>
      </c>
      <c r="J277">
        <v>440129</v>
      </c>
      <c r="L277" t="s">
        <v>383</v>
      </c>
      <c r="M277" t="s">
        <v>384</v>
      </c>
      <c r="N277" t="s">
        <v>87</v>
      </c>
      <c r="O277" t="s">
        <v>363</v>
      </c>
      <c r="P277" t="s">
        <v>363</v>
      </c>
      <c r="Q277" t="s">
        <v>112</v>
      </c>
      <c r="R277" t="s">
        <v>385</v>
      </c>
      <c r="S277" t="s">
        <v>364</v>
      </c>
      <c r="T277" t="s">
        <v>340</v>
      </c>
      <c r="U277">
        <v>12</v>
      </c>
      <c r="V277">
        <v>7</v>
      </c>
      <c r="W277" t="str">
        <f>"6.2.1"</f>
        <v>6.2.1</v>
      </c>
      <c r="X277" t="s">
        <v>391</v>
      </c>
      <c r="Y277">
        <v>3536297</v>
      </c>
      <c r="Z277">
        <v>223561</v>
      </c>
      <c r="AA277" t="s">
        <v>94</v>
      </c>
      <c r="AB277" t="s">
        <v>95</v>
      </c>
      <c r="AC277" t="s">
        <v>96</v>
      </c>
      <c r="AD277" t="s">
        <v>95</v>
      </c>
      <c r="AE277" t="s">
        <v>95</v>
      </c>
      <c r="AF277" t="s">
        <v>95</v>
      </c>
      <c r="AN277" t="s">
        <v>95</v>
      </c>
      <c r="AQ277" t="s">
        <v>340</v>
      </c>
      <c r="AR277" t="s">
        <v>386</v>
      </c>
      <c r="AS277">
        <v>5102</v>
      </c>
      <c r="AT277" t="s">
        <v>117</v>
      </c>
      <c r="AU277" t="s">
        <v>390</v>
      </c>
      <c r="AV277">
        <v>3771</v>
      </c>
      <c r="AW277">
        <v>3771</v>
      </c>
      <c r="AX277">
        <v>3771</v>
      </c>
      <c r="AY277">
        <v>0</v>
      </c>
      <c r="AZ277" t="s">
        <v>290</v>
      </c>
      <c r="BB277">
        <v>492510</v>
      </c>
      <c r="BC277" t="s">
        <v>99</v>
      </c>
      <c r="BD277" t="s">
        <v>268</v>
      </c>
      <c r="BE277" t="s">
        <v>290</v>
      </c>
      <c r="BF277" s="1">
        <v>46268</v>
      </c>
      <c r="BG277" t="s">
        <v>100</v>
      </c>
      <c r="BH277" t="str">
        <f t="shared" si="16"/>
        <v>720914577</v>
      </c>
      <c r="BI277" t="s">
        <v>101</v>
      </c>
      <c r="BJ277" t="s">
        <v>102</v>
      </c>
      <c r="BK277" t="s">
        <v>102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</row>
    <row r="278" spans="1:78">
      <c r="A278" t="s">
        <v>152</v>
      </c>
      <c r="B278" t="s">
        <v>380</v>
      </c>
      <c r="C278" t="s">
        <v>154</v>
      </c>
      <c r="D278" t="s">
        <v>381</v>
      </c>
      <c r="E278">
        <v>5891</v>
      </c>
      <c r="F278" t="s">
        <v>382</v>
      </c>
      <c r="G278">
        <v>1464860</v>
      </c>
      <c r="H278">
        <v>1161796</v>
      </c>
      <c r="I278">
        <v>37219592</v>
      </c>
      <c r="J278">
        <v>440129</v>
      </c>
      <c r="L278" t="s">
        <v>383</v>
      </c>
      <c r="M278" t="s">
        <v>384</v>
      </c>
      <c r="N278" t="s">
        <v>87</v>
      </c>
      <c r="O278" t="s">
        <v>363</v>
      </c>
      <c r="P278" t="s">
        <v>363</v>
      </c>
      <c r="Q278" t="s">
        <v>112</v>
      </c>
      <c r="R278" t="s">
        <v>385</v>
      </c>
      <c r="S278" t="s">
        <v>364</v>
      </c>
      <c r="T278" t="s">
        <v>340</v>
      </c>
      <c r="U278">
        <v>13</v>
      </c>
      <c r="V278">
        <v>8</v>
      </c>
      <c r="W278" t="str">
        <f>"6.3.1"</f>
        <v>6.3.1</v>
      </c>
      <c r="X278" t="s">
        <v>392</v>
      </c>
      <c r="Y278">
        <v>3536298</v>
      </c>
      <c r="Z278">
        <v>502141</v>
      </c>
      <c r="AA278" t="s">
        <v>94</v>
      </c>
      <c r="AB278" t="s">
        <v>95</v>
      </c>
      <c r="AC278" t="s">
        <v>96</v>
      </c>
      <c r="AD278" t="s">
        <v>95</v>
      </c>
      <c r="AE278" t="s">
        <v>95</v>
      </c>
      <c r="AF278" t="s">
        <v>95</v>
      </c>
      <c r="AN278" t="s">
        <v>95</v>
      </c>
      <c r="AQ278" t="s">
        <v>340</v>
      </c>
      <c r="AR278" t="s">
        <v>386</v>
      </c>
      <c r="AS278">
        <v>5100</v>
      </c>
      <c r="AT278" t="s">
        <v>117</v>
      </c>
      <c r="AU278" t="s">
        <v>118</v>
      </c>
      <c r="AV278">
        <v>3771</v>
      </c>
      <c r="AW278">
        <v>3771</v>
      </c>
      <c r="AX278">
        <v>3771</v>
      </c>
      <c r="AY278">
        <v>0</v>
      </c>
      <c r="AZ278" t="s">
        <v>290</v>
      </c>
      <c r="BB278">
        <v>492510</v>
      </c>
      <c r="BC278" t="s">
        <v>99</v>
      </c>
      <c r="BD278" t="s">
        <v>268</v>
      </c>
      <c r="BE278" t="s">
        <v>290</v>
      </c>
      <c r="BF278" s="1">
        <v>46268</v>
      </c>
      <c r="BG278" t="s">
        <v>100</v>
      </c>
      <c r="BH278" t="str">
        <f t="shared" si="16"/>
        <v>720914577</v>
      </c>
      <c r="BI278" t="s">
        <v>101</v>
      </c>
      <c r="BJ278" t="s">
        <v>102</v>
      </c>
      <c r="BK278" t="s">
        <v>102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</row>
    <row r="279" spans="1:78">
      <c r="A279" t="s">
        <v>152</v>
      </c>
      <c r="B279" t="s">
        <v>380</v>
      </c>
      <c r="C279" t="s">
        <v>154</v>
      </c>
      <c r="D279" t="s">
        <v>381</v>
      </c>
      <c r="E279">
        <v>5891</v>
      </c>
      <c r="F279" t="s">
        <v>382</v>
      </c>
      <c r="G279">
        <v>1464860</v>
      </c>
      <c r="H279">
        <v>1161796</v>
      </c>
      <c r="I279">
        <v>37219592</v>
      </c>
      <c r="J279">
        <v>440129</v>
      </c>
      <c r="L279" t="s">
        <v>383</v>
      </c>
      <c r="M279" t="s">
        <v>384</v>
      </c>
      <c r="N279" t="s">
        <v>87</v>
      </c>
      <c r="O279" t="s">
        <v>363</v>
      </c>
      <c r="P279" t="s">
        <v>363</v>
      </c>
      <c r="Q279" t="s">
        <v>112</v>
      </c>
      <c r="R279" t="s">
        <v>385</v>
      </c>
      <c r="S279" t="s">
        <v>364</v>
      </c>
      <c r="T279" t="s">
        <v>340</v>
      </c>
      <c r="U279">
        <v>14</v>
      </c>
      <c r="V279">
        <v>9</v>
      </c>
      <c r="W279" t="str">
        <f>"6.3.2"</f>
        <v>6.3.2</v>
      </c>
      <c r="X279" t="s">
        <v>393</v>
      </c>
      <c r="Y279">
        <v>3536292</v>
      </c>
      <c r="Z279">
        <v>429132</v>
      </c>
      <c r="AA279" t="s">
        <v>94</v>
      </c>
      <c r="AB279" t="s">
        <v>95</v>
      </c>
      <c r="AC279" t="s">
        <v>96</v>
      </c>
      <c r="AD279" t="s">
        <v>95</v>
      </c>
      <c r="AE279" t="s">
        <v>95</v>
      </c>
      <c r="AF279" t="s">
        <v>95</v>
      </c>
      <c r="AN279" t="s">
        <v>95</v>
      </c>
      <c r="AQ279" t="s">
        <v>340</v>
      </c>
      <c r="AR279" t="s">
        <v>386</v>
      </c>
      <c r="AS279">
        <v>5100</v>
      </c>
      <c r="AT279" t="s">
        <v>117</v>
      </c>
      <c r="AU279" t="s">
        <v>118</v>
      </c>
      <c r="AV279">
        <v>3771</v>
      </c>
      <c r="AW279">
        <v>3771</v>
      </c>
      <c r="AX279">
        <v>3771</v>
      </c>
      <c r="AY279">
        <v>0</v>
      </c>
      <c r="AZ279" t="s">
        <v>290</v>
      </c>
      <c r="BB279">
        <v>492510</v>
      </c>
      <c r="BC279" t="s">
        <v>99</v>
      </c>
      <c r="BD279" t="s">
        <v>268</v>
      </c>
      <c r="BE279" t="s">
        <v>290</v>
      </c>
      <c r="BF279" s="1">
        <v>46268</v>
      </c>
      <c r="BG279" t="s">
        <v>100</v>
      </c>
      <c r="BH279" t="str">
        <f t="shared" si="16"/>
        <v>720914577</v>
      </c>
      <c r="BI279" t="s">
        <v>101</v>
      </c>
      <c r="BJ279" t="s">
        <v>102</v>
      </c>
      <c r="BK279" t="s">
        <v>102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</row>
    <row r="280" spans="1:78">
      <c r="A280" t="s">
        <v>152</v>
      </c>
      <c r="B280" t="s">
        <v>380</v>
      </c>
      <c r="C280" t="s">
        <v>154</v>
      </c>
      <c r="D280" t="s">
        <v>381</v>
      </c>
      <c r="E280">
        <v>5891</v>
      </c>
      <c r="F280" t="s">
        <v>382</v>
      </c>
      <c r="G280">
        <v>1464860</v>
      </c>
      <c r="H280">
        <v>1161796</v>
      </c>
      <c r="I280">
        <v>37219592</v>
      </c>
      <c r="J280">
        <v>440129</v>
      </c>
      <c r="L280" t="s">
        <v>383</v>
      </c>
      <c r="M280" t="s">
        <v>384</v>
      </c>
      <c r="N280" t="s">
        <v>87</v>
      </c>
      <c r="O280" t="s">
        <v>363</v>
      </c>
      <c r="P280" t="s">
        <v>363</v>
      </c>
      <c r="Q280" t="s">
        <v>112</v>
      </c>
      <c r="R280" t="s">
        <v>385</v>
      </c>
      <c r="S280" t="s">
        <v>364</v>
      </c>
      <c r="T280" t="s">
        <v>340</v>
      </c>
      <c r="U280">
        <v>15</v>
      </c>
      <c r="V280">
        <v>10</v>
      </c>
      <c r="W280" t="str">
        <f>"6.3.3"</f>
        <v>6.3.3</v>
      </c>
      <c r="X280" t="s">
        <v>394</v>
      </c>
      <c r="Y280">
        <v>3536300</v>
      </c>
      <c r="Z280">
        <v>335395</v>
      </c>
      <c r="AA280" t="s">
        <v>94</v>
      </c>
      <c r="AB280" t="s">
        <v>95</v>
      </c>
      <c r="AC280" t="s">
        <v>96</v>
      </c>
      <c r="AD280" t="s">
        <v>95</v>
      </c>
      <c r="AE280" t="s">
        <v>95</v>
      </c>
      <c r="AF280" t="s">
        <v>95</v>
      </c>
      <c r="AN280" t="s">
        <v>95</v>
      </c>
      <c r="AQ280" t="s">
        <v>340</v>
      </c>
      <c r="AR280" t="s">
        <v>386</v>
      </c>
      <c r="AS280">
        <v>5100</v>
      </c>
      <c r="AT280" t="s">
        <v>117</v>
      </c>
      <c r="AU280" t="s">
        <v>118</v>
      </c>
      <c r="AV280">
        <v>3771</v>
      </c>
      <c r="AW280">
        <v>3771</v>
      </c>
      <c r="AX280">
        <v>3771</v>
      </c>
      <c r="AY280">
        <v>0</v>
      </c>
      <c r="AZ280" t="s">
        <v>290</v>
      </c>
      <c r="BB280">
        <v>492510</v>
      </c>
      <c r="BC280" t="s">
        <v>99</v>
      </c>
      <c r="BD280" t="s">
        <v>268</v>
      </c>
      <c r="BE280" t="s">
        <v>290</v>
      </c>
      <c r="BF280" s="1">
        <v>46268</v>
      </c>
      <c r="BG280" t="s">
        <v>100</v>
      </c>
      <c r="BH280" t="str">
        <f t="shared" si="16"/>
        <v>720914577</v>
      </c>
      <c r="BI280" t="s">
        <v>101</v>
      </c>
      <c r="BJ280" t="s">
        <v>102</v>
      </c>
      <c r="BK280" t="s">
        <v>102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</row>
    <row r="281" spans="1:78">
      <c r="A281" t="s">
        <v>152</v>
      </c>
      <c r="B281" t="s">
        <v>380</v>
      </c>
      <c r="C281" t="s">
        <v>154</v>
      </c>
      <c r="D281" t="s">
        <v>381</v>
      </c>
      <c r="E281">
        <v>5891</v>
      </c>
      <c r="F281" t="s">
        <v>382</v>
      </c>
      <c r="G281">
        <v>1464860</v>
      </c>
      <c r="H281">
        <v>1161796</v>
      </c>
      <c r="I281">
        <v>37219592</v>
      </c>
      <c r="J281">
        <v>440129</v>
      </c>
      <c r="L281" t="s">
        <v>383</v>
      </c>
      <c r="M281" t="s">
        <v>384</v>
      </c>
      <c r="N281" t="s">
        <v>87</v>
      </c>
      <c r="O281" t="s">
        <v>363</v>
      </c>
      <c r="P281" t="s">
        <v>363</v>
      </c>
      <c r="Q281" t="s">
        <v>112</v>
      </c>
      <c r="R281" t="s">
        <v>385</v>
      </c>
      <c r="S281" t="s">
        <v>364</v>
      </c>
      <c r="T281" t="s">
        <v>340</v>
      </c>
      <c r="U281">
        <v>16</v>
      </c>
      <c r="V281">
        <v>11</v>
      </c>
      <c r="W281" t="str">
        <f>"6.3.4"</f>
        <v>6.3.4</v>
      </c>
      <c r="X281" t="s">
        <v>395</v>
      </c>
      <c r="Y281">
        <v>3536301</v>
      </c>
      <c r="Z281">
        <v>315922</v>
      </c>
      <c r="AA281" t="s">
        <v>94</v>
      </c>
      <c r="AB281" t="s">
        <v>95</v>
      </c>
      <c r="AC281" t="s">
        <v>96</v>
      </c>
      <c r="AD281" t="s">
        <v>95</v>
      </c>
      <c r="AE281" t="s">
        <v>95</v>
      </c>
      <c r="AF281" t="s">
        <v>95</v>
      </c>
      <c r="AN281" t="s">
        <v>95</v>
      </c>
      <c r="AQ281" t="s">
        <v>340</v>
      </c>
      <c r="AR281" t="s">
        <v>386</v>
      </c>
      <c r="AS281">
        <v>5100</v>
      </c>
      <c r="AT281" t="s">
        <v>117</v>
      </c>
      <c r="AU281" t="s">
        <v>118</v>
      </c>
      <c r="AV281">
        <v>3771</v>
      </c>
      <c r="AW281">
        <v>3771</v>
      </c>
      <c r="AX281">
        <v>3771</v>
      </c>
      <c r="AY281">
        <v>0</v>
      </c>
      <c r="AZ281" t="s">
        <v>290</v>
      </c>
      <c r="BB281">
        <v>492510</v>
      </c>
      <c r="BC281" t="s">
        <v>99</v>
      </c>
      <c r="BD281" t="s">
        <v>268</v>
      </c>
      <c r="BE281" t="s">
        <v>290</v>
      </c>
      <c r="BF281" s="1">
        <v>46268</v>
      </c>
      <c r="BG281" t="s">
        <v>100</v>
      </c>
      <c r="BH281" t="str">
        <f t="shared" si="16"/>
        <v>720914577</v>
      </c>
      <c r="BI281" t="s">
        <v>101</v>
      </c>
      <c r="BJ281" t="s">
        <v>102</v>
      </c>
      <c r="BK281" t="s">
        <v>102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</row>
    <row r="282" spans="1:78">
      <c r="A282" t="s">
        <v>152</v>
      </c>
      <c r="B282" t="s">
        <v>380</v>
      </c>
      <c r="C282" t="s">
        <v>154</v>
      </c>
      <c r="D282" t="s">
        <v>381</v>
      </c>
      <c r="E282">
        <v>5891</v>
      </c>
      <c r="F282" t="s">
        <v>382</v>
      </c>
      <c r="G282">
        <v>1464860</v>
      </c>
      <c r="H282">
        <v>1161796</v>
      </c>
      <c r="I282">
        <v>37219592</v>
      </c>
      <c r="J282">
        <v>440129</v>
      </c>
      <c r="L282" t="s">
        <v>383</v>
      </c>
      <c r="M282" t="s">
        <v>384</v>
      </c>
      <c r="N282" t="s">
        <v>87</v>
      </c>
      <c r="O282" t="s">
        <v>363</v>
      </c>
      <c r="P282" t="s">
        <v>363</v>
      </c>
      <c r="Q282" t="s">
        <v>112</v>
      </c>
      <c r="R282" t="s">
        <v>385</v>
      </c>
      <c r="S282" t="s">
        <v>364</v>
      </c>
      <c r="T282" t="s">
        <v>340</v>
      </c>
      <c r="U282">
        <v>17</v>
      </c>
      <c r="V282">
        <v>12</v>
      </c>
      <c r="W282" t="str">
        <f>"6.3.5"</f>
        <v>6.3.5</v>
      </c>
      <c r="X282" t="s">
        <v>396</v>
      </c>
      <c r="Y282">
        <v>3536302</v>
      </c>
      <c r="Z282">
        <v>516818</v>
      </c>
      <c r="AA282" t="s">
        <v>94</v>
      </c>
      <c r="AB282" t="s">
        <v>95</v>
      </c>
      <c r="AC282" t="s">
        <v>96</v>
      </c>
      <c r="AD282" t="s">
        <v>95</v>
      </c>
      <c r="AE282" t="s">
        <v>95</v>
      </c>
      <c r="AF282" t="s">
        <v>95</v>
      </c>
      <c r="AN282" t="s">
        <v>95</v>
      </c>
      <c r="AQ282" t="s">
        <v>340</v>
      </c>
      <c r="AR282" t="s">
        <v>386</v>
      </c>
      <c r="AS282">
        <v>5100</v>
      </c>
      <c r="AT282" t="s">
        <v>117</v>
      </c>
      <c r="AU282" t="s">
        <v>118</v>
      </c>
      <c r="AV282">
        <v>3771</v>
      </c>
      <c r="AW282">
        <v>3771</v>
      </c>
      <c r="AX282">
        <v>3771</v>
      </c>
      <c r="AY282">
        <v>0</v>
      </c>
      <c r="AZ282" t="s">
        <v>290</v>
      </c>
      <c r="BB282">
        <v>492510</v>
      </c>
      <c r="BC282" t="s">
        <v>99</v>
      </c>
      <c r="BD282" t="s">
        <v>268</v>
      </c>
      <c r="BE282" t="s">
        <v>290</v>
      </c>
      <c r="BF282" s="1">
        <v>46268</v>
      </c>
      <c r="BG282" t="s">
        <v>100</v>
      </c>
      <c r="BH282" t="str">
        <f t="shared" si="16"/>
        <v>720914577</v>
      </c>
      <c r="BI282" t="s">
        <v>101</v>
      </c>
      <c r="BJ282" t="s">
        <v>102</v>
      </c>
      <c r="BK282" t="s">
        <v>102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</row>
    <row r="283" spans="1:78">
      <c r="A283" t="s">
        <v>152</v>
      </c>
      <c r="B283" t="s">
        <v>380</v>
      </c>
      <c r="C283" t="s">
        <v>154</v>
      </c>
      <c r="D283" t="s">
        <v>381</v>
      </c>
      <c r="E283">
        <v>5891</v>
      </c>
      <c r="F283" t="s">
        <v>382</v>
      </c>
      <c r="G283">
        <v>1464860</v>
      </c>
      <c r="H283">
        <v>1161796</v>
      </c>
      <c r="I283">
        <v>37219592</v>
      </c>
      <c r="J283">
        <v>440129</v>
      </c>
      <c r="L283" t="s">
        <v>383</v>
      </c>
      <c r="M283" t="s">
        <v>384</v>
      </c>
      <c r="N283" t="s">
        <v>87</v>
      </c>
      <c r="O283" t="s">
        <v>363</v>
      </c>
      <c r="P283" t="s">
        <v>363</v>
      </c>
      <c r="Q283" t="s">
        <v>112</v>
      </c>
      <c r="R283" t="s">
        <v>385</v>
      </c>
      <c r="S283" t="s">
        <v>364</v>
      </c>
      <c r="T283" t="s">
        <v>340</v>
      </c>
      <c r="U283">
        <v>18</v>
      </c>
      <c r="V283">
        <v>13</v>
      </c>
      <c r="W283" t="str">
        <f>"6.3.6"</f>
        <v>6.3.6</v>
      </c>
      <c r="X283" t="s">
        <v>397</v>
      </c>
      <c r="Y283">
        <v>3536303</v>
      </c>
      <c r="Z283">
        <v>507496</v>
      </c>
      <c r="AA283" t="s">
        <v>94</v>
      </c>
      <c r="AB283" t="s">
        <v>95</v>
      </c>
      <c r="AC283" t="s">
        <v>96</v>
      </c>
      <c r="AD283" t="s">
        <v>95</v>
      </c>
      <c r="AE283" t="s">
        <v>95</v>
      </c>
      <c r="AF283" t="s">
        <v>95</v>
      </c>
      <c r="AN283" t="s">
        <v>95</v>
      </c>
      <c r="AQ283" t="s">
        <v>340</v>
      </c>
      <c r="AR283" t="s">
        <v>386</v>
      </c>
      <c r="AS283">
        <v>5100</v>
      </c>
      <c r="AT283" t="s">
        <v>117</v>
      </c>
      <c r="AU283" t="s">
        <v>118</v>
      </c>
      <c r="AV283">
        <v>3771</v>
      </c>
      <c r="AW283">
        <v>3771</v>
      </c>
      <c r="AX283">
        <v>3771</v>
      </c>
      <c r="AY283">
        <v>0</v>
      </c>
      <c r="AZ283" t="s">
        <v>290</v>
      </c>
      <c r="BB283">
        <v>492510</v>
      </c>
      <c r="BC283" t="s">
        <v>99</v>
      </c>
      <c r="BD283" t="s">
        <v>268</v>
      </c>
      <c r="BE283" t="s">
        <v>290</v>
      </c>
      <c r="BF283" s="1">
        <v>46268</v>
      </c>
      <c r="BG283" t="s">
        <v>100</v>
      </c>
      <c r="BH283" t="str">
        <f t="shared" si="16"/>
        <v>720914577</v>
      </c>
      <c r="BI283" t="s">
        <v>101</v>
      </c>
      <c r="BJ283" t="s">
        <v>102</v>
      </c>
      <c r="BK283" t="s">
        <v>102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</row>
    <row r="284" spans="1:78">
      <c r="A284" t="s">
        <v>152</v>
      </c>
      <c r="B284" t="s">
        <v>380</v>
      </c>
      <c r="C284" t="s">
        <v>154</v>
      </c>
      <c r="D284" t="s">
        <v>381</v>
      </c>
      <c r="E284">
        <v>5891</v>
      </c>
      <c r="F284" t="s">
        <v>382</v>
      </c>
      <c r="G284">
        <v>1464860</v>
      </c>
      <c r="H284">
        <v>1161796</v>
      </c>
      <c r="I284">
        <v>37219592</v>
      </c>
      <c r="J284">
        <v>440129</v>
      </c>
      <c r="L284" t="s">
        <v>383</v>
      </c>
      <c r="M284" t="s">
        <v>384</v>
      </c>
      <c r="N284" t="s">
        <v>87</v>
      </c>
      <c r="O284" t="s">
        <v>363</v>
      </c>
      <c r="P284" t="s">
        <v>363</v>
      </c>
      <c r="Q284" t="s">
        <v>112</v>
      </c>
      <c r="R284" t="s">
        <v>385</v>
      </c>
      <c r="S284" t="s">
        <v>364</v>
      </c>
      <c r="T284" t="s">
        <v>340</v>
      </c>
      <c r="U284">
        <v>19</v>
      </c>
      <c r="V284">
        <v>14</v>
      </c>
      <c r="W284" t="str">
        <f>"7.01"</f>
        <v>7.01</v>
      </c>
      <c r="X284" t="s">
        <v>376</v>
      </c>
      <c r="AA284" t="s">
        <v>94</v>
      </c>
      <c r="AB284" t="s">
        <v>95</v>
      </c>
      <c r="AC284" t="s">
        <v>96</v>
      </c>
      <c r="AD284" t="s">
        <v>95</v>
      </c>
      <c r="AE284" t="s">
        <v>95</v>
      </c>
      <c r="AF284" t="s">
        <v>95</v>
      </c>
      <c r="AN284" t="s">
        <v>95</v>
      </c>
      <c r="AQ284" t="s">
        <v>340</v>
      </c>
      <c r="AR284" t="s">
        <v>386</v>
      </c>
      <c r="AS284">
        <v>5200</v>
      </c>
      <c r="AT284" t="s">
        <v>126</v>
      </c>
      <c r="AU284" t="s">
        <v>190</v>
      </c>
      <c r="AV284">
        <v>3771</v>
      </c>
      <c r="AW284">
        <v>3771</v>
      </c>
      <c r="AX284">
        <v>3771</v>
      </c>
      <c r="AY284">
        <v>0</v>
      </c>
      <c r="AZ284" t="s">
        <v>290</v>
      </c>
      <c r="BB284">
        <v>492510</v>
      </c>
      <c r="BC284" t="s">
        <v>99</v>
      </c>
      <c r="BD284" t="s">
        <v>268</v>
      </c>
      <c r="BE284" t="s">
        <v>290</v>
      </c>
      <c r="BF284" s="1">
        <v>46268</v>
      </c>
      <c r="BG284" t="s">
        <v>100</v>
      </c>
      <c r="BH284" t="str">
        <f t="shared" si="16"/>
        <v>720914577</v>
      </c>
      <c r="BI284" t="s">
        <v>101</v>
      </c>
      <c r="BJ284" t="s">
        <v>102</v>
      </c>
      <c r="BK284" t="s">
        <v>102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</row>
    <row r="285" spans="1:78">
      <c r="A285" t="s">
        <v>152</v>
      </c>
      <c r="B285" t="s">
        <v>380</v>
      </c>
      <c r="C285" t="s">
        <v>154</v>
      </c>
      <c r="D285" t="s">
        <v>381</v>
      </c>
      <c r="E285">
        <v>5891</v>
      </c>
      <c r="F285" t="s">
        <v>382</v>
      </c>
      <c r="G285">
        <v>1464860</v>
      </c>
      <c r="H285">
        <v>1161796</v>
      </c>
      <c r="I285">
        <v>37219592</v>
      </c>
      <c r="J285">
        <v>440129</v>
      </c>
      <c r="L285" t="s">
        <v>383</v>
      </c>
      <c r="M285" t="s">
        <v>384</v>
      </c>
      <c r="N285" t="s">
        <v>87</v>
      </c>
      <c r="O285" t="s">
        <v>363</v>
      </c>
      <c r="P285" t="s">
        <v>363</v>
      </c>
      <c r="Q285" t="s">
        <v>112</v>
      </c>
      <c r="R285" t="s">
        <v>385</v>
      </c>
      <c r="S285" t="s">
        <v>364</v>
      </c>
      <c r="T285" t="s">
        <v>340</v>
      </c>
      <c r="U285">
        <v>20</v>
      </c>
      <c r="V285">
        <v>15</v>
      </c>
      <c r="W285" t="str">
        <f>"8.1"</f>
        <v>8.1</v>
      </c>
      <c r="X285" t="s">
        <v>204</v>
      </c>
      <c r="AA285" t="s">
        <v>94</v>
      </c>
      <c r="AB285" t="s">
        <v>95</v>
      </c>
      <c r="AC285" t="s">
        <v>96</v>
      </c>
      <c r="AD285" t="s">
        <v>95</v>
      </c>
      <c r="AE285" t="s">
        <v>95</v>
      </c>
      <c r="AF285" t="s">
        <v>95</v>
      </c>
      <c r="AN285" t="s">
        <v>95</v>
      </c>
      <c r="AQ285" t="s">
        <v>340</v>
      </c>
      <c r="AR285" t="s">
        <v>386</v>
      </c>
      <c r="AS285">
        <v>5838</v>
      </c>
      <c r="AT285" t="s">
        <v>198</v>
      </c>
      <c r="AU285" t="s">
        <v>204</v>
      </c>
      <c r="AV285">
        <v>3771</v>
      </c>
      <c r="AW285">
        <v>3771</v>
      </c>
      <c r="AX285">
        <v>3771</v>
      </c>
      <c r="AY285">
        <v>0</v>
      </c>
      <c r="AZ285" t="s">
        <v>290</v>
      </c>
      <c r="BB285">
        <v>492510</v>
      </c>
      <c r="BC285" t="s">
        <v>99</v>
      </c>
      <c r="BD285" t="s">
        <v>268</v>
      </c>
      <c r="BE285" t="s">
        <v>290</v>
      </c>
      <c r="BF285" s="1">
        <v>46268</v>
      </c>
      <c r="BG285" t="s">
        <v>100</v>
      </c>
      <c r="BH285" t="str">
        <f t="shared" si="16"/>
        <v>720914577</v>
      </c>
      <c r="BI285" t="s">
        <v>101</v>
      </c>
      <c r="BJ285" t="s">
        <v>102</v>
      </c>
      <c r="BK285" t="s">
        <v>102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</row>
    <row r="286" spans="1:78">
      <c r="A286" t="s">
        <v>152</v>
      </c>
      <c r="B286" t="s">
        <v>380</v>
      </c>
      <c r="C286" t="s">
        <v>154</v>
      </c>
      <c r="D286" t="s">
        <v>381</v>
      </c>
      <c r="E286">
        <v>5891</v>
      </c>
      <c r="F286" t="s">
        <v>382</v>
      </c>
      <c r="G286">
        <v>1464860</v>
      </c>
      <c r="H286">
        <v>1161796</v>
      </c>
      <c r="I286">
        <v>37219592</v>
      </c>
      <c r="J286">
        <v>440129</v>
      </c>
      <c r="L286" t="s">
        <v>383</v>
      </c>
      <c r="M286" t="s">
        <v>384</v>
      </c>
      <c r="N286" t="s">
        <v>87</v>
      </c>
      <c r="O286" t="s">
        <v>363</v>
      </c>
      <c r="P286" t="s">
        <v>363</v>
      </c>
      <c r="Q286" t="s">
        <v>112</v>
      </c>
      <c r="R286" t="s">
        <v>385</v>
      </c>
      <c r="S286" t="s">
        <v>364</v>
      </c>
      <c r="T286" t="s">
        <v>340</v>
      </c>
      <c r="U286">
        <v>21</v>
      </c>
      <c r="V286">
        <v>16</v>
      </c>
      <c r="W286" t="str">
        <f>"8.2"</f>
        <v>8.2</v>
      </c>
      <c r="X286" t="s">
        <v>398</v>
      </c>
      <c r="AA286" t="s">
        <v>94</v>
      </c>
      <c r="AB286" t="s">
        <v>95</v>
      </c>
      <c r="AC286" t="s">
        <v>96</v>
      </c>
      <c r="AD286" t="s">
        <v>95</v>
      </c>
      <c r="AE286" t="s">
        <v>95</v>
      </c>
      <c r="AF286" t="s">
        <v>95</v>
      </c>
      <c r="AN286" t="s">
        <v>95</v>
      </c>
      <c r="AQ286" t="s">
        <v>340</v>
      </c>
      <c r="AR286" t="s">
        <v>386</v>
      </c>
      <c r="AS286">
        <v>5804</v>
      </c>
      <c r="AT286" t="s">
        <v>198</v>
      </c>
      <c r="AU286" t="s">
        <v>399</v>
      </c>
      <c r="AV286">
        <v>3771</v>
      </c>
      <c r="AW286">
        <v>3771</v>
      </c>
      <c r="AX286">
        <v>3771</v>
      </c>
      <c r="AY286">
        <v>0</v>
      </c>
      <c r="AZ286" t="s">
        <v>290</v>
      </c>
      <c r="BB286">
        <v>492510</v>
      </c>
      <c r="BC286" t="s">
        <v>99</v>
      </c>
      <c r="BD286" t="s">
        <v>268</v>
      </c>
      <c r="BE286" t="s">
        <v>290</v>
      </c>
      <c r="BF286" s="1">
        <v>46268</v>
      </c>
      <c r="BG286" t="s">
        <v>100</v>
      </c>
      <c r="BH286" t="str">
        <f t="shared" si="16"/>
        <v>720914577</v>
      </c>
      <c r="BI286" t="s">
        <v>101</v>
      </c>
      <c r="BJ286" t="s">
        <v>102</v>
      </c>
      <c r="BK286" t="s">
        <v>102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</row>
    <row r="287" spans="1:78">
      <c r="A287" t="s">
        <v>152</v>
      </c>
      <c r="B287" t="s">
        <v>380</v>
      </c>
      <c r="C287" t="s">
        <v>154</v>
      </c>
      <c r="D287" t="s">
        <v>381</v>
      </c>
      <c r="E287">
        <v>5891</v>
      </c>
      <c r="F287" t="s">
        <v>382</v>
      </c>
      <c r="G287">
        <v>1464860</v>
      </c>
      <c r="H287">
        <v>1161796</v>
      </c>
      <c r="I287">
        <v>37219592</v>
      </c>
      <c r="J287">
        <v>440129</v>
      </c>
      <c r="L287" t="s">
        <v>383</v>
      </c>
      <c r="M287" t="s">
        <v>384</v>
      </c>
      <c r="N287" t="s">
        <v>87</v>
      </c>
      <c r="O287" t="s">
        <v>363</v>
      </c>
      <c r="P287" t="s">
        <v>363</v>
      </c>
      <c r="Q287" t="s">
        <v>112</v>
      </c>
      <c r="R287" t="s">
        <v>385</v>
      </c>
      <c r="S287" t="s">
        <v>364</v>
      </c>
      <c r="T287" t="s">
        <v>340</v>
      </c>
      <c r="U287">
        <v>22</v>
      </c>
      <c r="V287">
        <v>17</v>
      </c>
      <c r="W287" t="str">
        <f>"8.3"</f>
        <v>8.3</v>
      </c>
      <c r="X287" t="s">
        <v>400</v>
      </c>
      <c r="AA287" t="s">
        <v>94</v>
      </c>
      <c r="AB287" t="s">
        <v>95</v>
      </c>
      <c r="AC287" t="s">
        <v>96</v>
      </c>
      <c r="AD287" t="s">
        <v>95</v>
      </c>
      <c r="AE287" t="s">
        <v>95</v>
      </c>
      <c r="AF287" t="s">
        <v>95</v>
      </c>
      <c r="AN287" t="s">
        <v>95</v>
      </c>
      <c r="AQ287" t="s">
        <v>340</v>
      </c>
      <c r="AR287" t="s">
        <v>386</v>
      </c>
      <c r="AS287">
        <v>6180</v>
      </c>
      <c r="AT287" t="s">
        <v>98</v>
      </c>
      <c r="AU287" t="s">
        <v>401</v>
      </c>
      <c r="AV287">
        <v>3771</v>
      </c>
      <c r="AW287">
        <v>3771</v>
      </c>
      <c r="AX287">
        <v>3771</v>
      </c>
      <c r="AY287">
        <v>0</v>
      </c>
      <c r="AZ287" t="s">
        <v>290</v>
      </c>
      <c r="BB287">
        <v>492510</v>
      </c>
      <c r="BC287" t="s">
        <v>99</v>
      </c>
      <c r="BD287" t="s">
        <v>268</v>
      </c>
      <c r="BE287" t="s">
        <v>290</v>
      </c>
      <c r="BF287" s="1">
        <v>46268</v>
      </c>
      <c r="BG287" t="s">
        <v>100</v>
      </c>
      <c r="BH287" t="str">
        <f t="shared" si="16"/>
        <v>720914577</v>
      </c>
      <c r="BI287" t="s">
        <v>101</v>
      </c>
      <c r="BJ287" t="s">
        <v>102</v>
      </c>
      <c r="BK287" t="s">
        <v>102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</row>
    <row r="288" spans="1:78">
      <c r="A288" t="s">
        <v>402</v>
      </c>
      <c r="B288" t="s">
        <v>380</v>
      </c>
      <c r="C288" t="s">
        <v>154</v>
      </c>
      <c r="D288" t="s">
        <v>381</v>
      </c>
      <c r="E288">
        <v>5891</v>
      </c>
      <c r="F288" t="s">
        <v>382</v>
      </c>
      <c r="G288">
        <v>1464860</v>
      </c>
      <c r="H288">
        <v>1161796</v>
      </c>
      <c r="I288">
        <v>37588034</v>
      </c>
      <c r="J288">
        <v>440129</v>
      </c>
      <c r="L288" t="s">
        <v>383</v>
      </c>
      <c r="M288" t="s">
        <v>384</v>
      </c>
      <c r="N288" t="s">
        <v>87</v>
      </c>
      <c r="O288" t="s">
        <v>363</v>
      </c>
      <c r="P288" t="s">
        <v>363</v>
      </c>
      <c r="Q288" t="s">
        <v>112</v>
      </c>
      <c r="R288" t="s">
        <v>385</v>
      </c>
      <c r="S288" t="s">
        <v>364</v>
      </c>
      <c r="T288" t="s">
        <v>340</v>
      </c>
      <c r="U288">
        <v>5</v>
      </c>
      <c r="V288">
        <v>1</v>
      </c>
      <c r="W288" t="str">
        <f>"2"</f>
        <v>2</v>
      </c>
      <c r="X288" t="s">
        <v>211</v>
      </c>
      <c r="AA288" t="s">
        <v>94</v>
      </c>
      <c r="AB288" t="s">
        <v>95</v>
      </c>
      <c r="AC288" t="s">
        <v>96</v>
      </c>
      <c r="AD288" t="s">
        <v>95</v>
      </c>
      <c r="AE288" t="s">
        <v>95</v>
      </c>
      <c r="AF288" t="s">
        <v>95</v>
      </c>
      <c r="AN288" t="s">
        <v>95</v>
      </c>
      <c r="AQ288" t="s">
        <v>340</v>
      </c>
      <c r="AR288" t="s">
        <v>386</v>
      </c>
      <c r="AS288">
        <v>5030</v>
      </c>
      <c r="AT288" t="s">
        <v>126</v>
      </c>
      <c r="AU288" t="s">
        <v>212</v>
      </c>
      <c r="AV288">
        <v>20788</v>
      </c>
      <c r="AW288">
        <v>20788</v>
      </c>
      <c r="AX288">
        <v>20788</v>
      </c>
      <c r="AY288">
        <v>0</v>
      </c>
      <c r="AZ288" t="s">
        <v>290</v>
      </c>
      <c r="BB288">
        <v>492510</v>
      </c>
      <c r="BC288" t="s">
        <v>99</v>
      </c>
      <c r="BD288" t="s">
        <v>268</v>
      </c>
      <c r="BE288" t="s">
        <v>290</v>
      </c>
      <c r="BF288" s="1">
        <v>46268</v>
      </c>
      <c r="BG288" t="s">
        <v>100</v>
      </c>
      <c r="BH288" t="str">
        <f t="shared" si="16"/>
        <v>720914577</v>
      </c>
      <c r="BI288" t="s">
        <v>101</v>
      </c>
      <c r="BJ288" t="s">
        <v>102</v>
      </c>
      <c r="BK288" t="s">
        <v>102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</row>
    <row r="289" spans="1:78">
      <c r="A289" t="s">
        <v>402</v>
      </c>
      <c r="B289" t="s">
        <v>380</v>
      </c>
      <c r="C289" t="s">
        <v>154</v>
      </c>
      <c r="D289" t="s">
        <v>381</v>
      </c>
      <c r="E289">
        <v>5891</v>
      </c>
      <c r="F289" t="s">
        <v>382</v>
      </c>
      <c r="G289">
        <v>1464860</v>
      </c>
      <c r="H289">
        <v>1161796</v>
      </c>
      <c r="I289">
        <v>37588034</v>
      </c>
      <c r="J289">
        <v>440129</v>
      </c>
      <c r="L289" t="s">
        <v>383</v>
      </c>
      <c r="M289" t="s">
        <v>384</v>
      </c>
      <c r="N289" t="s">
        <v>87</v>
      </c>
      <c r="O289" t="s">
        <v>363</v>
      </c>
      <c r="P289" t="s">
        <v>363</v>
      </c>
      <c r="Q289" t="s">
        <v>112</v>
      </c>
      <c r="R289" t="s">
        <v>385</v>
      </c>
      <c r="S289" t="s">
        <v>364</v>
      </c>
      <c r="T289" t="s">
        <v>340</v>
      </c>
      <c r="U289">
        <v>6</v>
      </c>
      <c r="V289">
        <v>2</v>
      </c>
      <c r="W289" t="str">
        <f>"3"</f>
        <v>3</v>
      </c>
      <c r="X289" t="s">
        <v>162</v>
      </c>
      <c r="AA289" t="s">
        <v>94</v>
      </c>
      <c r="AB289" t="s">
        <v>95</v>
      </c>
      <c r="AC289" t="s">
        <v>96</v>
      </c>
      <c r="AD289" t="s">
        <v>95</v>
      </c>
      <c r="AE289" t="s">
        <v>95</v>
      </c>
      <c r="AF289" t="s">
        <v>95</v>
      </c>
      <c r="AN289" t="s">
        <v>95</v>
      </c>
      <c r="AQ289" t="s">
        <v>340</v>
      </c>
      <c r="AR289" t="s">
        <v>386</v>
      </c>
      <c r="AS289">
        <v>5000</v>
      </c>
      <c r="AT289" t="s">
        <v>126</v>
      </c>
      <c r="AU289" t="s">
        <v>162</v>
      </c>
      <c r="AV289">
        <v>20788</v>
      </c>
      <c r="AW289">
        <v>20788</v>
      </c>
      <c r="AX289">
        <v>20788</v>
      </c>
      <c r="AY289">
        <v>0</v>
      </c>
      <c r="AZ289" t="s">
        <v>290</v>
      </c>
      <c r="BB289">
        <v>492510</v>
      </c>
      <c r="BC289" t="s">
        <v>99</v>
      </c>
      <c r="BD289" t="s">
        <v>268</v>
      </c>
      <c r="BE289" t="s">
        <v>290</v>
      </c>
      <c r="BF289" s="1">
        <v>46268</v>
      </c>
      <c r="BG289" t="s">
        <v>100</v>
      </c>
      <c r="BH289" t="str">
        <f t="shared" si="16"/>
        <v>720914577</v>
      </c>
      <c r="BI289" t="s">
        <v>101</v>
      </c>
      <c r="BJ289" t="s">
        <v>102</v>
      </c>
      <c r="BK289" t="s">
        <v>102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</row>
    <row r="290" spans="1:78">
      <c r="A290" t="s">
        <v>402</v>
      </c>
      <c r="B290" t="s">
        <v>380</v>
      </c>
      <c r="C290" t="s">
        <v>154</v>
      </c>
      <c r="D290" t="s">
        <v>381</v>
      </c>
      <c r="E290">
        <v>5891</v>
      </c>
      <c r="F290" t="s">
        <v>382</v>
      </c>
      <c r="G290">
        <v>1464860</v>
      </c>
      <c r="H290">
        <v>1161796</v>
      </c>
      <c r="I290">
        <v>37588034</v>
      </c>
      <c r="J290">
        <v>440129</v>
      </c>
      <c r="L290" t="s">
        <v>383</v>
      </c>
      <c r="M290" t="s">
        <v>384</v>
      </c>
      <c r="N290" t="s">
        <v>87</v>
      </c>
      <c r="O290" t="s">
        <v>363</v>
      </c>
      <c r="P290" t="s">
        <v>363</v>
      </c>
      <c r="Q290" t="s">
        <v>112</v>
      </c>
      <c r="R290" t="s">
        <v>385</v>
      </c>
      <c r="S290" t="s">
        <v>364</v>
      </c>
      <c r="T290" t="s">
        <v>340</v>
      </c>
      <c r="U290">
        <v>7</v>
      </c>
      <c r="V290">
        <v>3</v>
      </c>
      <c r="W290" t="str">
        <f>"4"</f>
        <v>4</v>
      </c>
      <c r="X290" t="s">
        <v>193</v>
      </c>
      <c r="AA290" t="s">
        <v>94</v>
      </c>
      <c r="AB290" t="s">
        <v>95</v>
      </c>
      <c r="AC290" t="s">
        <v>96</v>
      </c>
      <c r="AD290" t="s">
        <v>123</v>
      </c>
      <c r="AE290" t="s">
        <v>123</v>
      </c>
      <c r="AF290" t="s">
        <v>95</v>
      </c>
      <c r="AN290" t="s">
        <v>95</v>
      </c>
      <c r="AQ290" t="s">
        <v>340</v>
      </c>
      <c r="AR290" t="s">
        <v>386</v>
      </c>
      <c r="AS290">
        <v>5600</v>
      </c>
      <c r="AT290" t="s">
        <v>128</v>
      </c>
      <c r="AU290" t="s">
        <v>194</v>
      </c>
      <c r="AV290">
        <v>20788</v>
      </c>
      <c r="AW290">
        <v>20788</v>
      </c>
      <c r="AX290">
        <v>20788</v>
      </c>
      <c r="AY290">
        <v>0</v>
      </c>
      <c r="AZ290" t="s">
        <v>290</v>
      </c>
      <c r="BB290">
        <v>492510</v>
      </c>
      <c r="BC290" t="s">
        <v>99</v>
      </c>
      <c r="BD290" t="s">
        <v>268</v>
      </c>
      <c r="BE290" t="s">
        <v>290</v>
      </c>
      <c r="BF290" s="1">
        <v>46268</v>
      </c>
      <c r="BG290" t="s">
        <v>100</v>
      </c>
      <c r="BH290" t="str">
        <f t="shared" si="16"/>
        <v>720914577</v>
      </c>
      <c r="BI290" t="s">
        <v>101</v>
      </c>
      <c r="BJ290" t="s">
        <v>123</v>
      </c>
      <c r="BK290" t="s">
        <v>123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</row>
    <row r="291" spans="1:78">
      <c r="A291" t="s">
        <v>402</v>
      </c>
      <c r="B291" t="s">
        <v>380</v>
      </c>
      <c r="C291" t="s">
        <v>154</v>
      </c>
      <c r="D291" t="s">
        <v>381</v>
      </c>
      <c r="E291">
        <v>5891</v>
      </c>
      <c r="F291" t="s">
        <v>382</v>
      </c>
      <c r="G291">
        <v>1464860</v>
      </c>
      <c r="H291">
        <v>1161796</v>
      </c>
      <c r="I291">
        <v>37588034</v>
      </c>
      <c r="J291">
        <v>440129</v>
      </c>
      <c r="L291" t="s">
        <v>383</v>
      </c>
      <c r="M291" t="s">
        <v>384</v>
      </c>
      <c r="N291" t="s">
        <v>87</v>
      </c>
      <c r="O291" t="s">
        <v>363</v>
      </c>
      <c r="P291" t="s">
        <v>363</v>
      </c>
      <c r="Q291" t="s">
        <v>112</v>
      </c>
      <c r="R291" t="s">
        <v>385</v>
      </c>
      <c r="S291" t="s">
        <v>364</v>
      </c>
      <c r="T291" t="s">
        <v>340</v>
      </c>
      <c r="U291">
        <v>8</v>
      </c>
      <c r="V291">
        <v>4</v>
      </c>
      <c r="W291" t="str">
        <f>"5.1"</f>
        <v>5.1</v>
      </c>
      <c r="X291" t="s">
        <v>387</v>
      </c>
      <c r="AA291" t="s">
        <v>94</v>
      </c>
      <c r="AB291" t="s">
        <v>95</v>
      </c>
      <c r="AC291" t="s">
        <v>96</v>
      </c>
      <c r="AD291" t="s">
        <v>95</v>
      </c>
      <c r="AE291" t="s">
        <v>95</v>
      </c>
      <c r="AF291" t="s">
        <v>95</v>
      </c>
      <c r="AN291" t="s">
        <v>95</v>
      </c>
      <c r="AQ291" t="s">
        <v>340</v>
      </c>
      <c r="AR291" t="s">
        <v>386</v>
      </c>
      <c r="AS291">
        <v>5500</v>
      </c>
      <c r="AT291" t="s">
        <v>128</v>
      </c>
      <c r="AU291" t="s">
        <v>214</v>
      </c>
      <c r="AV291">
        <v>20788</v>
      </c>
      <c r="AW291">
        <v>20788</v>
      </c>
      <c r="AX291">
        <v>20788</v>
      </c>
      <c r="AY291">
        <v>0</v>
      </c>
      <c r="AZ291" t="s">
        <v>290</v>
      </c>
      <c r="BB291">
        <v>492510</v>
      </c>
      <c r="BC291" t="s">
        <v>99</v>
      </c>
      <c r="BD291" t="s">
        <v>268</v>
      </c>
      <c r="BE291" t="s">
        <v>290</v>
      </c>
      <c r="BF291" s="1">
        <v>46268</v>
      </c>
      <c r="BG291" t="s">
        <v>100</v>
      </c>
      <c r="BH291" t="str">
        <f t="shared" si="16"/>
        <v>720914577</v>
      </c>
      <c r="BI291" t="s">
        <v>101</v>
      </c>
      <c r="BJ291" t="s">
        <v>102</v>
      </c>
      <c r="BK291" t="s">
        <v>102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</row>
    <row r="292" spans="1:78">
      <c r="A292" t="s">
        <v>402</v>
      </c>
      <c r="B292" t="s">
        <v>380</v>
      </c>
      <c r="C292" t="s">
        <v>154</v>
      </c>
      <c r="D292" t="s">
        <v>381</v>
      </c>
      <c r="E292">
        <v>5891</v>
      </c>
      <c r="F292" t="s">
        <v>382</v>
      </c>
      <c r="G292">
        <v>1464860</v>
      </c>
      <c r="H292">
        <v>1161796</v>
      </c>
      <c r="I292">
        <v>37588034</v>
      </c>
      <c r="J292">
        <v>440129</v>
      </c>
      <c r="L292" t="s">
        <v>383</v>
      </c>
      <c r="M292" t="s">
        <v>384</v>
      </c>
      <c r="N292" t="s">
        <v>87</v>
      </c>
      <c r="O292" t="s">
        <v>363</v>
      </c>
      <c r="P292" t="s">
        <v>363</v>
      </c>
      <c r="Q292" t="s">
        <v>112</v>
      </c>
      <c r="R292" t="s">
        <v>385</v>
      </c>
      <c r="S292" t="s">
        <v>364</v>
      </c>
      <c r="T292" t="s">
        <v>340</v>
      </c>
      <c r="U292">
        <v>9</v>
      </c>
      <c r="V292">
        <v>5</v>
      </c>
      <c r="W292" t="str">
        <f>"5.2"</f>
        <v>5.2</v>
      </c>
      <c r="X292" t="s">
        <v>388</v>
      </c>
      <c r="AA292" t="s">
        <v>94</v>
      </c>
      <c r="AB292" t="s">
        <v>95</v>
      </c>
      <c r="AC292" t="s">
        <v>96</v>
      </c>
      <c r="AD292" t="s">
        <v>95</v>
      </c>
      <c r="AE292" t="s">
        <v>95</v>
      </c>
      <c r="AF292" t="s">
        <v>95</v>
      </c>
      <c r="AN292" t="s">
        <v>95</v>
      </c>
      <c r="AQ292" t="s">
        <v>340</v>
      </c>
      <c r="AR292" t="s">
        <v>386</v>
      </c>
      <c r="AS292">
        <v>5505</v>
      </c>
      <c r="AT292" t="s">
        <v>128</v>
      </c>
      <c r="AU292" t="s">
        <v>257</v>
      </c>
      <c r="AV292">
        <v>20788</v>
      </c>
      <c r="AW292">
        <v>20788</v>
      </c>
      <c r="AX292">
        <v>20788</v>
      </c>
      <c r="AY292">
        <v>0</v>
      </c>
      <c r="AZ292" t="s">
        <v>290</v>
      </c>
      <c r="BB292">
        <v>492510</v>
      </c>
      <c r="BC292" t="s">
        <v>99</v>
      </c>
      <c r="BD292" t="s">
        <v>268</v>
      </c>
      <c r="BE292" t="s">
        <v>290</v>
      </c>
      <c r="BF292" s="1">
        <v>46268</v>
      </c>
      <c r="BG292" t="s">
        <v>100</v>
      </c>
      <c r="BH292" t="str">
        <f t="shared" si="16"/>
        <v>720914577</v>
      </c>
      <c r="BI292" t="s">
        <v>101</v>
      </c>
      <c r="BJ292" t="s">
        <v>102</v>
      </c>
      <c r="BK292" t="s">
        <v>102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</row>
    <row r="293" spans="1:78">
      <c r="A293" t="s">
        <v>402</v>
      </c>
      <c r="B293" t="s">
        <v>380</v>
      </c>
      <c r="C293" t="s">
        <v>154</v>
      </c>
      <c r="D293" t="s">
        <v>381</v>
      </c>
      <c r="E293">
        <v>5891</v>
      </c>
      <c r="F293" t="s">
        <v>382</v>
      </c>
      <c r="G293">
        <v>1464860</v>
      </c>
      <c r="H293">
        <v>1161796</v>
      </c>
      <c r="I293">
        <v>37588034</v>
      </c>
      <c r="J293">
        <v>440129</v>
      </c>
      <c r="L293" t="s">
        <v>383</v>
      </c>
      <c r="M293" t="s">
        <v>384</v>
      </c>
      <c r="N293" t="s">
        <v>87</v>
      </c>
      <c r="O293" t="s">
        <v>363</v>
      </c>
      <c r="P293" t="s">
        <v>363</v>
      </c>
      <c r="Q293" t="s">
        <v>112</v>
      </c>
      <c r="R293" t="s">
        <v>385</v>
      </c>
      <c r="S293" t="s">
        <v>364</v>
      </c>
      <c r="T293" t="s">
        <v>340</v>
      </c>
      <c r="U293">
        <v>11</v>
      </c>
      <c r="V293">
        <v>6</v>
      </c>
      <c r="W293" t="str">
        <f>"6.1.1"</f>
        <v>6.1.1</v>
      </c>
      <c r="X293" t="s">
        <v>389</v>
      </c>
      <c r="Y293">
        <v>3536296</v>
      </c>
      <c r="Z293">
        <v>380404</v>
      </c>
      <c r="AA293" t="s">
        <v>94</v>
      </c>
      <c r="AB293" t="s">
        <v>95</v>
      </c>
      <c r="AC293" t="s">
        <v>96</v>
      </c>
      <c r="AD293" t="s">
        <v>369</v>
      </c>
      <c r="AE293" t="s">
        <v>369</v>
      </c>
      <c r="AF293" t="s">
        <v>95</v>
      </c>
      <c r="AN293" t="s">
        <v>95</v>
      </c>
      <c r="AQ293" t="s">
        <v>340</v>
      </c>
      <c r="AR293" t="s">
        <v>386</v>
      </c>
      <c r="AS293">
        <v>5102</v>
      </c>
      <c r="AT293" t="s">
        <v>117</v>
      </c>
      <c r="AU293" t="s">
        <v>390</v>
      </c>
      <c r="AV293">
        <v>20788</v>
      </c>
      <c r="AW293">
        <v>20788</v>
      </c>
      <c r="AX293">
        <v>20788</v>
      </c>
      <c r="AY293">
        <v>0</v>
      </c>
      <c r="AZ293" t="s">
        <v>290</v>
      </c>
      <c r="BB293">
        <v>492510</v>
      </c>
      <c r="BC293" t="s">
        <v>99</v>
      </c>
      <c r="BD293" t="s">
        <v>268</v>
      </c>
      <c r="BE293" t="s">
        <v>290</v>
      </c>
      <c r="BF293" s="1">
        <v>46268</v>
      </c>
      <c r="BG293" t="s">
        <v>100</v>
      </c>
      <c r="BH293" t="str">
        <f t="shared" si="16"/>
        <v>720914577</v>
      </c>
      <c r="BI293" t="s">
        <v>101</v>
      </c>
      <c r="BJ293" t="s">
        <v>123</v>
      </c>
      <c r="BK293" t="s">
        <v>123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</row>
    <row r="294" spans="1:78">
      <c r="A294" t="s">
        <v>402</v>
      </c>
      <c r="B294" t="s">
        <v>380</v>
      </c>
      <c r="C294" t="s">
        <v>154</v>
      </c>
      <c r="D294" t="s">
        <v>381</v>
      </c>
      <c r="E294">
        <v>5891</v>
      </c>
      <c r="F294" t="s">
        <v>382</v>
      </c>
      <c r="G294">
        <v>1464860</v>
      </c>
      <c r="H294">
        <v>1161796</v>
      </c>
      <c r="I294">
        <v>37588034</v>
      </c>
      <c r="J294">
        <v>440129</v>
      </c>
      <c r="L294" t="s">
        <v>383</v>
      </c>
      <c r="M294" t="s">
        <v>384</v>
      </c>
      <c r="N294" t="s">
        <v>87</v>
      </c>
      <c r="O294" t="s">
        <v>363</v>
      </c>
      <c r="P294" t="s">
        <v>363</v>
      </c>
      <c r="Q294" t="s">
        <v>112</v>
      </c>
      <c r="R294" t="s">
        <v>385</v>
      </c>
      <c r="S294" t="s">
        <v>364</v>
      </c>
      <c r="T294" t="s">
        <v>340</v>
      </c>
      <c r="U294">
        <v>12</v>
      </c>
      <c r="V294">
        <v>7</v>
      </c>
      <c r="W294" t="str">
        <f>"6.2.1"</f>
        <v>6.2.1</v>
      </c>
      <c r="X294" t="s">
        <v>391</v>
      </c>
      <c r="Y294">
        <v>3536297</v>
      </c>
      <c r="Z294">
        <v>223561</v>
      </c>
      <c r="AA294" t="s">
        <v>94</v>
      </c>
      <c r="AB294" t="s">
        <v>95</v>
      </c>
      <c r="AC294" t="s">
        <v>96</v>
      </c>
      <c r="AD294" t="s">
        <v>95</v>
      </c>
      <c r="AE294" t="s">
        <v>95</v>
      </c>
      <c r="AF294" t="s">
        <v>95</v>
      </c>
      <c r="AN294" t="s">
        <v>95</v>
      </c>
      <c r="AQ294" t="s">
        <v>340</v>
      </c>
      <c r="AR294" t="s">
        <v>386</v>
      </c>
      <c r="AS294">
        <v>5102</v>
      </c>
      <c r="AT294" t="s">
        <v>117</v>
      </c>
      <c r="AU294" t="s">
        <v>390</v>
      </c>
      <c r="AV294">
        <v>20788</v>
      </c>
      <c r="AW294">
        <v>20788</v>
      </c>
      <c r="AX294">
        <v>20788</v>
      </c>
      <c r="AY294">
        <v>0</v>
      </c>
      <c r="AZ294" t="s">
        <v>290</v>
      </c>
      <c r="BB294">
        <v>492510</v>
      </c>
      <c r="BC294" t="s">
        <v>99</v>
      </c>
      <c r="BD294" t="s">
        <v>268</v>
      </c>
      <c r="BE294" t="s">
        <v>290</v>
      </c>
      <c r="BF294" s="1">
        <v>46268</v>
      </c>
      <c r="BG294" t="s">
        <v>100</v>
      </c>
      <c r="BH294" t="str">
        <f t="shared" si="16"/>
        <v>720914577</v>
      </c>
      <c r="BI294" t="s">
        <v>101</v>
      </c>
      <c r="BJ294" t="s">
        <v>102</v>
      </c>
      <c r="BK294" t="s">
        <v>102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</row>
    <row r="295" spans="1:78">
      <c r="A295" t="s">
        <v>402</v>
      </c>
      <c r="B295" t="s">
        <v>380</v>
      </c>
      <c r="C295" t="s">
        <v>154</v>
      </c>
      <c r="D295" t="s">
        <v>381</v>
      </c>
      <c r="E295">
        <v>5891</v>
      </c>
      <c r="F295" t="s">
        <v>382</v>
      </c>
      <c r="G295">
        <v>1464860</v>
      </c>
      <c r="H295">
        <v>1161796</v>
      </c>
      <c r="I295">
        <v>37588034</v>
      </c>
      <c r="J295">
        <v>440129</v>
      </c>
      <c r="L295" t="s">
        <v>383</v>
      </c>
      <c r="M295" t="s">
        <v>384</v>
      </c>
      <c r="N295" t="s">
        <v>87</v>
      </c>
      <c r="O295" t="s">
        <v>363</v>
      </c>
      <c r="P295" t="s">
        <v>363</v>
      </c>
      <c r="Q295" t="s">
        <v>112</v>
      </c>
      <c r="R295" t="s">
        <v>385</v>
      </c>
      <c r="S295" t="s">
        <v>364</v>
      </c>
      <c r="T295" t="s">
        <v>340</v>
      </c>
      <c r="U295">
        <v>13</v>
      </c>
      <c r="V295">
        <v>8</v>
      </c>
      <c r="W295" t="str">
        <f>"6.3.1"</f>
        <v>6.3.1</v>
      </c>
      <c r="X295" t="s">
        <v>392</v>
      </c>
      <c r="Y295">
        <v>3536298</v>
      </c>
      <c r="Z295">
        <v>502141</v>
      </c>
      <c r="AA295" t="s">
        <v>94</v>
      </c>
      <c r="AB295" t="s">
        <v>95</v>
      </c>
      <c r="AC295" t="s">
        <v>96</v>
      </c>
      <c r="AD295" t="s">
        <v>95</v>
      </c>
      <c r="AE295" t="s">
        <v>95</v>
      </c>
      <c r="AF295" t="s">
        <v>95</v>
      </c>
      <c r="AN295" t="s">
        <v>95</v>
      </c>
      <c r="AQ295" t="s">
        <v>340</v>
      </c>
      <c r="AR295" t="s">
        <v>386</v>
      </c>
      <c r="AS295">
        <v>5100</v>
      </c>
      <c r="AT295" t="s">
        <v>117</v>
      </c>
      <c r="AU295" t="s">
        <v>118</v>
      </c>
      <c r="AV295">
        <v>20788</v>
      </c>
      <c r="AW295">
        <v>20788</v>
      </c>
      <c r="AX295">
        <v>20788</v>
      </c>
      <c r="AY295">
        <v>0</v>
      </c>
      <c r="AZ295" t="s">
        <v>290</v>
      </c>
      <c r="BB295">
        <v>492510</v>
      </c>
      <c r="BC295" t="s">
        <v>99</v>
      </c>
      <c r="BD295" t="s">
        <v>268</v>
      </c>
      <c r="BE295" t="s">
        <v>290</v>
      </c>
      <c r="BF295" s="1">
        <v>46268</v>
      </c>
      <c r="BG295" t="s">
        <v>100</v>
      </c>
      <c r="BH295" t="str">
        <f t="shared" si="16"/>
        <v>720914577</v>
      </c>
      <c r="BI295" t="s">
        <v>101</v>
      </c>
      <c r="BJ295" t="s">
        <v>102</v>
      </c>
      <c r="BK295" t="s">
        <v>102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</row>
    <row r="296" spans="1:78">
      <c r="A296" t="s">
        <v>402</v>
      </c>
      <c r="B296" t="s">
        <v>380</v>
      </c>
      <c r="C296" t="s">
        <v>154</v>
      </c>
      <c r="D296" t="s">
        <v>381</v>
      </c>
      <c r="E296">
        <v>5891</v>
      </c>
      <c r="F296" t="s">
        <v>382</v>
      </c>
      <c r="G296">
        <v>1464860</v>
      </c>
      <c r="H296">
        <v>1161796</v>
      </c>
      <c r="I296">
        <v>37588034</v>
      </c>
      <c r="J296">
        <v>440129</v>
      </c>
      <c r="L296" t="s">
        <v>383</v>
      </c>
      <c r="M296" t="s">
        <v>384</v>
      </c>
      <c r="N296" t="s">
        <v>87</v>
      </c>
      <c r="O296" t="s">
        <v>363</v>
      </c>
      <c r="P296" t="s">
        <v>363</v>
      </c>
      <c r="Q296" t="s">
        <v>112</v>
      </c>
      <c r="R296" t="s">
        <v>385</v>
      </c>
      <c r="S296" t="s">
        <v>364</v>
      </c>
      <c r="T296" t="s">
        <v>340</v>
      </c>
      <c r="U296">
        <v>14</v>
      </c>
      <c r="V296">
        <v>9</v>
      </c>
      <c r="W296" t="str">
        <f>"6.3.2"</f>
        <v>6.3.2</v>
      </c>
      <c r="X296" t="s">
        <v>393</v>
      </c>
      <c r="Y296">
        <v>3536292</v>
      </c>
      <c r="Z296">
        <v>429132</v>
      </c>
      <c r="AA296" t="s">
        <v>94</v>
      </c>
      <c r="AB296" t="s">
        <v>95</v>
      </c>
      <c r="AC296" t="s">
        <v>96</v>
      </c>
      <c r="AD296" t="s">
        <v>95</v>
      </c>
      <c r="AE296" t="s">
        <v>95</v>
      </c>
      <c r="AF296" t="s">
        <v>95</v>
      </c>
      <c r="AN296" t="s">
        <v>95</v>
      </c>
      <c r="AQ296" t="s">
        <v>340</v>
      </c>
      <c r="AR296" t="s">
        <v>386</v>
      </c>
      <c r="AS296">
        <v>5100</v>
      </c>
      <c r="AT296" t="s">
        <v>117</v>
      </c>
      <c r="AU296" t="s">
        <v>118</v>
      </c>
      <c r="AV296">
        <v>20788</v>
      </c>
      <c r="AW296">
        <v>20788</v>
      </c>
      <c r="AX296">
        <v>20788</v>
      </c>
      <c r="AY296">
        <v>0</v>
      </c>
      <c r="AZ296" t="s">
        <v>290</v>
      </c>
      <c r="BB296">
        <v>492510</v>
      </c>
      <c r="BC296" t="s">
        <v>99</v>
      </c>
      <c r="BD296" t="s">
        <v>268</v>
      </c>
      <c r="BE296" t="s">
        <v>290</v>
      </c>
      <c r="BF296" s="1">
        <v>46268</v>
      </c>
      <c r="BG296" t="s">
        <v>100</v>
      </c>
      <c r="BH296" t="str">
        <f t="shared" si="16"/>
        <v>720914577</v>
      </c>
      <c r="BI296" t="s">
        <v>101</v>
      </c>
      <c r="BJ296" t="s">
        <v>102</v>
      </c>
      <c r="BK296" t="s">
        <v>102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</row>
    <row r="297" spans="1:78">
      <c r="A297" t="s">
        <v>402</v>
      </c>
      <c r="B297" t="s">
        <v>380</v>
      </c>
      <c r="C297" t="s">
        <v>154</v>
      </c>
      <c r="D297" t="s">
        <v>381</v>
      </c>
      <c r="E297">
        <v>5891</v>
      </c>
      <c r="F297" t="s">
        <v>382</v>
      </c>
      <c r="G297">
        <v>1464860</v>
      </c>
      <c r="H297">
        <v>1161796</v>
      </c>
      <c r="I297">
        <v>37588034</v>
      </c>
      <c r="J297">
        <v>440129</v>
      </c>
      <c r="L297" t="s">
        <v>383</v>
      </c>
      <c r="M297" t="s">
        <v>384</v>
      </c>
      <c r="N297" t="s">
        <v>87</v>
      </c>
      <c r="O297" t="s">
        <v>363</v>
      </c>
      <c r="P297" t="s">
        <v>363</v>
      </c>
      <c r="Q297" t="s">
        <v>112</v>
      </c>
      <c r="R297" t="s">
        <v>385</v>
      </c>
      <c r="S297" t="s">
        <v>364</v>
      </c>
      <c r="T297" t="s">
        <v>340</v>
      </c>
      <c r="U297">
        <v>15</v>
      </c>
      <c r="V297">
        <v>10</v>
      </c>
      <c r="W297" t="str">
        <f>"6.3.3"</f>
        <v>6.3.3</v>
      </c>
      <c r="X297" t="s">
        <v>394</v>
      </c>
      <c r="Y297">
        <v>3536300</v>
      </c>
      <c r="Z297">
        <v>335395</v>
      </c>
      <c r="AA297" t="s">
        <v>94</v>
      </c>
      <c r="AB297" t="s">
        <v>95</v>
      </c>
      <c r="AC297" t="s">
        <v>96</v>
      </c>
      <c r="AD297" t="s">
        <v>95</v>
      </c>
      <c r="AE297" t="s">
        <v>95</v>
      </c>
      <c r="AF297" t="s">
        <v>95</v>
      </c>
      <c r="AN297" t="s">
        <v>95</v>
      </c>
      <c r="AQ297" t="s">
        <v>340</v>
      </c>
      <c r="AR297" t="s">
        <v>386</v>
      </c>
      <c r="AS297">
        <v>5100</v>
      </c>
      <c r="AT297" t="s">
        <v>117</v>
      </c>
      <c r="AU297" t="s">
        <v>118</v>
      </c>
      <c r="AV297">
        <v>20788</v>
      </c>
      <c r="AW297">
        <v>20788</v>
      </c>
      <c r="AX297">
        <v>20788</v>
      </c>
      <c r="AY297">
        <v>0</v>
      </c>
      <c r="AZ297" t="s">
        <v>290</v>
      </c>
      <c r="BB297">
        <v>492510</v>
      </c>
      <c r="BC297" t="s">
        <v>99</v>
      </c>
      <c r="BD297" t="s">
        <v>268</v>
      </c>
      <c r="BE297" t="s">
        <v>290</v>
      </c>
      <c r="BF297" s="1">
        <v>46268</v>
      </c>
      <c r="BG297" t="s">
        <v>100</v>
      </c>
      <c r="BH297" t="str">
        <f t="shared" si="16"/>
        <v>720914577</v>
      </c>
      <c r="BI297" t="s">
        <v>101</v>
      </c>
      <c r="BJ297" t="s">
        <v>102</v>
      </c>
      <c r="BK297" t="s">
        <v>102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</row>
    <row r="298" spans="1:78">
      <c r="A298" t="s">
        <v>402</v>
      </c>
      <c r="B298" t="s">
        <v>380</v>
      </c>
      <c r="C298" t="s">
        <v>154</v>
      </c>
      <c r="D298" t="s">
        <v>381</v>
      </c>
      <c r="E298">
        <v>5891</v>
      </c>
      <c r="F298" t="s">
        <v>382</v>
      </c>
      <c r="G298">
        <v>1464860</v>
      </c>
      <c r="H298">
        <v>1161796</v>
      </c>
      <c r="I298">
        <v>37588034</v>
      </c>
      <c r="J298">
        <v>440129</v>
      </c>
      <c r="L298" t="s">
        <v>383</v>
      </c>
      <c r="M298" t="s">
        <v>384</v>
      </c>
      <c r="N298" t="s">
        <v>87</v>
      </c>
      <c r="O298" t="s">
        <v>363</v>
      </c>
      <c r="P298" t="s">
        <v>363</v>
      </c>
      <c r="Q298" t="s">
        <v>112</v>
      </c>
      <c r="R298" t="s">
        <v>385</v>
      </c>
      <c r="S298" t="s">
        <v>364</v>
      </c>
      <c r="T298" t="s">
        <v>340</v>
      </c>
      <c r="U298">
        <v>16</v>
      </c>
      <c r="V298">
        <v>11</v>
      </c>
      <c r="W298" t="str">
        <f>"6.3.4"</f>
        <v>6.3.4</v>
      </c>
      <c r="X298" t="s">
        <v>395</v>
      </c>
      <c r="Y298">
        <v>3536301</v>
      </c>
      <c r="Z298">
        <v>315922</v>
      </c>
      <c r="AA298" t="s">
        <v>94</v>
      </c>
      <c r="AB298" t="s">
        <v>95</v>
      </c>
      <c r="AC298" t="s">
        <v>96</v>
      </c>
      <c r="AD298" t="s">
        <v>95</v>
      </c>
      <c r="AE298" t="s">
        <v>95</v>
      </c>
      <c r="AF298" t="s">
        <v>95</v>
      </c>
      <c r="AN298" t="s">
        <v>95</v>
      </c>
      <c r="AQ298" t="s">
        <v>340</v>
      </c>
      <c r="AR298" t="s">
        <v>386</v>
      </c>
      <c r="AS298">
        <v>5100</v>
      </c>
      <c r="AT298" t="s">
        <v>117</v>
      </c>
      <c r="AU298" t="s">
        <v>118</v>
      </c>
      <c r="AV298">
        <v>20788</v>
      </c>
      <c r="AW298">
        <v>20788</v>
      </c>
      <c r="AX298">
        <v>20788</v>
      </c>
      <c r="AY298">
        <v>0</v>
      </c>
      <c r="AZ298" t="s">
        <v>290</v>
      </c>
      <c r="BB298">
        <v>492510</v>
      </c>
      <c r="BC298" t="s">
        <v>99</v>
      </c>
      <c r="BD298" t="s">
        <v>268</v>
      </c>
      <c r="BE298" t="s">
        <v>290</v>
      </c>
      <c r="BF298" s="1">
        <v>46268</v>
      </c>
      <c r="BG298" t="s">
        <v>100</v>
      </c>
      <c r="BH298" t="str">
        <f t="shared" si="16"/>
        <v>720914577</v>
      </c>
      <c r="BI298" t="s">
        <v>101</v>
      </c>
      <c r="BJ298" t="s">
        <v>102</v>
      </c>
      <c r="BK298" t="s">
        <v>102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</row>
    <row r="299" spans="1:78">
      <c r="A299" t="s">
        <v>402</v>
      </c>
      <c r="B299" t="s">
        <v>380</v>
      </c>
      <c r="C299" t="s">
        <v>154</v>
      </c>
      <c r="D299" t="s">
        <v>381</v>
      </c>
      <c r="E299">
        <v>5891</v>
      </c>
      <c r="F299" t="s">
        <v>382</v>
      </c>
      <c r="G299">
        <v>1464860</v>
      </c>
      <c r="H299">
        <v>1161796</v>
      </c>
      <c r="I299">
        <v>37588034</v>
      </c>
      <c r="J299">
        <v>440129</v>
      </c>
      <c r="L299" t="s">
        <v>383</v>
      </c>
      <c r="M299" t="s">
        <v>384</v>
      </c>
      <c r="N299" t="s">
        <v>87</v>
      </c>
      <c r="O299" t="s">
        <v>363</v>
      </c>
      <c r="P299" t="s">
        <v>363</v>
      </c>
      <c r="Q299" t="s">
        <v>112</v>
      </c>
      <c r="R299" t="s">
        <v>385</v>
      </c>
      <c r="S299" t="s">
        <v>364</v>
      </c>
      <c r="T299" t="s">
        <v>340</v>
      </c>
      <c r="U299">
        <v>17</v>
      </c>
      <c r="V299">
        <v>12</v>
      </c>
      <c r="W299" t="str">
        <f>"6.3.5"</f>
        <v>6.3.5</v>
      </c>
      <c r="X299" t="s">
        <v>396</v>
      </c>
      <c r="Y299">
        <v>3536302</v>
      </c>
      <c r="Z299">
        <v>516818</v>
      </c>
      <c r="AA299" t="s">
        <v>94</v>
      </c>
      <c r="AB299" t="s">
        <v>95</v>
      </c>
      <c r="AC299" t="s">
        <v>96</v>
      </c>
      <c r="AD299" t="s">
        <v>95</v>
      </c>
      <c r="AE299" t="s">
        <v>95</v>
      </c>
      <c r="AF299" t="s">
        <v>95</v>
      </c>
      <c r="AN299" t="s">
        <v>95</v>
      </c>
      <c r="AQ299" t="s">
        <v>340</v>
      </c>
      <c r="AR299" t="s">
        <v>386</v>
      </c>
      <c r="AS299">
        <v>5100</v>
      </c>
      <c r="AT299" t="s">
        <v>117</v>
      </c>
      <c r="AU299" t="s">
        <v>118</v>
      </c>
      <c r="AV299">
        <v>20788</v>
      </c>
      <c r="AW299">
        <v>20788</v>
      </c>
      <c r="AX299">
        <v>20788</v>
      </c>
      <c r="AY299">
        <v>0</v>
      </c>
      <c r="AZ299" t="s">
        <v>290</v>
      </c>
      <c r="BB299">
        <v>492510</v>
      </c>
      <c r="BC299" t="s">
        <v>99</v>
      </c>
      <c r="BD299" t="s">
        <v>268</v>
      </c>
      <c r="BE299" t="s">
        <v>290</v>
      </c>
      <c r="BF299" s="1">
        <v>46268</v>
      </c>
      <c r="BG299" t="s">
        <v>100</v>
      </c>
      <c r="BH299" t="str">
        <f t="shared" si="16"/>
        <v>720914577</v>
      </c>
      <c r="BI299" t="s">
        <v>101</v>
      </c>
      <c r="BJ299" t="s">
        <v>102</v>
      </c>
      <c r="BK299" t="s">
        <v>102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</row>
    <row r="300" spans="1:78">
      <c r="A300" t="s">
        <v>402</v>
      </c>
      <c r="B300" t="s">
        <v>380</v>
      </c>
      <c r="C300" t="s">
        <v>154</v>
      </c>
      <c r="D300" t="s">
        <v>381</v>
      </c>
      <c r="E300">
        <v>5891</v>
      </c>
      <c r="F300" t="s">
        <v>382</v>
      </c>
      <c r="G300">
        <v>1464860</v>
      </c>
      <c r="H300">
        <v>1161796</v>
      </c>
      <c r="I300">
        <v>37588034</v>
      </c>
      <c r="J300">
        <v>440129</v>
      </c>
      <c r="L300" t="s">
        <v>383</v>
      </c>
      <c r="M300" t="s">
        <v>384</v>
      </c>
      <c r="N300" t="s">
        <v>87</v>
      </c>
      <c r="O300" t="s">
        <v>363</v>
      </c>
      <c r="P300" t="s">
        <v>363</v>
      </c>
      <c r="Q300" t="s">
        <v>112</v>
      </c>
      <c r="R300" t="s">
        <v>385</v>
      </c>
      <c r="S300" t="s">
        <v>364</v>
      </c>
      <c r="T300" t="s">
        <v>340</v>
      </c>
      <c r="U300">
        <v>18</v>
      </c>
      <c r="V300">
        <v>13</v>
      </c>
      <c r="W300" t="str">
        <f>"6.3.6"</f>
        <v>6.3.6</v>
      </c>
      <c r="X300" t="s">
        <v>397</v>
      </c>
      <c r="Y300">
        <v>3536303</v>
      </c>
      <c r="Z300">
        <v>507496</v>
      </c>
      <c r="AA300" t="s">
        <v>94</v>
      </c>
      <c r="AB300" t="s">
        <v>95</v>
      </c>
      <c r="AC300" t="s">
        <v>96</v>
      </c>
      <c r="AD300" t="s">
        <v>95</v>
      </c>
      <c r="AE300" t="s">
        <v>95</v>
      </c>
      <c r="AF300" t="s">
        <v>95</v>
      </c>
      <c r="AN300" t="s">
        <v>95</v>
      </c>
      <c r="AQ300" t="s">
        <v>340</v>
      </c>
      <c r="AR300" t="s">
        <v>386</v>
      </c>
      <c r="AS300">
        <v>5100</v>
      </c>
      <c r="AT300" t="s">
        <v>117</v>
      </c>
      <c r="AU300" t="s">
        <v>118</v>
      </c>
      <c r="AV300">
        <v>20788</v>
      </c>
      <c r="AW300">
        <v>20788</v>
      </c>
      <c r="AX300">
        <v>20788</v>
      </c>
      <c r="AY300">
        <v>0</v>
      </c>
      <c r="AZ300" t="s">
        <v>290</v>
      </c>
      <c r="BB300">
        <v>492510</v>
      </c>
      <c r="BC300" t="s">
        <v>99</v>
      </c>
      <c r="BD300" t="s">
        <v>268</v>
      </c>
      <c r="BE300" t="s">
        <v>290</v>
      </c>
      <c r="BF300" s="1">
        <v>46268</v>
      </c>
      <c r="BG300" t="s">
        <v>100</v>
      </c>
      <c r="BH300" t="str">
        <f t="shared" si="16"/>
        <v>720914577</v>
      </c>
      <c r="BI300" t="s">
        <v>101</v>
      </c>
      <c r="BJ300" t="s">
        <v>102</v>
      </c>
      <c r="BK300" t="s">
        <v>102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</row>
    <row r="301" spans="1:78">
      <c r="A301" t="s">
        <v>402</v>
      </c>
      <c r="B301" t="s">
        <v>380</v>
      </c>
      <c r="C301" t="s">
        <v>154</v>
      </c>
      <c r="D301" t="s">
        <v>381</v>
      </c>
      <c r="E301">
        <v>5891</v>
      </c>
      <c r="F301" t="s">
        <v>382</v>
      </c>
      <c r="G301">
        <v>1464860</v>
      </c>
      <c r="H301">
        <v>1161796</v>
      </c>
      <c r="I301">
        <v>37588034</v>
      </c>
      <c r="J301">
        <v>440129</v>
      </c>
      <c r="L301" t="s">
        <v>383</v>
      </c>
      <c r="M301" t="s">
        <v>384</v>
      </c>
      <c r="N301" t="s">
        <v>87</v>
      </c>
      <c r="O301" t="s">
        <v>363</v>
      </c>
      <c r="P301" t="s">
        <v>363</v>
      </c>
      <c r="Q301" t="s">
        <v>112</v>
      </c>
      <c r="R301" t="s">
        <v>385</v>
      </c>
      <c r="S301" t="s">
        <v>364</v>
      </c>
      <c r="T301" t="s">
        <v>340</v>
      </c>
      <c r="U301">
        <v>19</v>
      </c>
      <c r="V301">
        <v>14</v>
      </c>
      <c r="W301" t="str">
        <f>"7.01"</f>
        <v>7.01</v>
      </c>
      <c r="X301" t="s">
        <v>376</v>
      </c>
      <c r="AA301" t="s">
        <v>94</v>
      </c>
      <c r="AB301" t="s">
        <v>95</v>
      </c>
      <c r="AC301" t="s">
        <v>96</v>
      </c>
      <c r="AD301" t="s">
        <v>95</v>
      </c>
      <c r="AE301" t="s">
        <v>95</v>
      </c>
      <c r="AF301" t="s">
        <v>95</v>
      </c>
      <c r="AN301" t="s">
        <v>95</v>
      </c>
      <c r="AQ301" t="s">
        <v>340</v>
      </c>
      <c r="AR301" t="s">
        <v>386</v>
      </c>
      <c r="AS301">
        <v>5200</v>
      </c>
      <c r="AT301" t="s">
        <v>126</v>
      </c>
      <c r="AU301" t="s">
        <v>190</v>
      </c>
      <c r="AV301">
        <v>20788</v>
      </c>
      <c r="AW301">
        <v>20788</v>
      </c>
      <c r="AX301">
        <v>20788</v>
      </c>
      <c r="AY301">
        <v>0</v>
      </c>
      <c r="AZ301" t="s">
        <v>290</v>
      </c>
      <c r="BB301">
        <v>492510</v>
      </c>
      <c r="BC301" t="s">
        <v>99</v>
      </c>
      <c r="BD301" t="s">
        <v>268</v>
      </c>
      <c r="BE301" t="s">
        <v>290</v>
      </c>
      <c r="BF301" s="1">
        <v>46268</v>
      </c>
      <c r="BG301" t="s">
        <v>100</v>
      </c>
      <c r="BH301" t="str">
        <f t="shared" si="16"/>
        <v>720914577</v>
      </c>
      <c r="BI301" t="s">
        <v>101</v>
      </c>
      <c r="BJ301" t="s">
        <v>102</v>
      </c>
      <c r="BK301" t="s">
        <v>102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</row>
    <row r="302" spans="1:78">
      <c r="A302" t="s">
        <v>402</v>
      </c>
      <c r="B302" t="s">
        <v>380</v>
      </c>
      <c r="C302" t="s">
        <v>154</v>
      </c>
      <c r="D302" t="s">
        <v>381</v>
      </c>
      <c r="E302">
        <v>5891</v>
      </c>
      <c r="F302" t="s">
        <v>382</v>
      </c>
      <c r="G302">
        <v>1464860</v>
      </c>
      <c r="H302">
        <v>1161796</v>
      </c>
      <c r="I302">
        <v>37588034</v>
      </c>
      <c r="J302">
        <v>440129</v>
      </c>
      <c r="L302" t="s">
        <v>383</v>
      </c>
      <c r="M302" t="s">
        <v>384</v>
      </c>
      <c r="N302" t="s">
        <v>87</v>
      </c>
      <c r="O302" t="s">
        <v>363</v>
      </c>
      <c r="P302" t="s">
        <v>363</v>
      </c>
      <c r="Q302" t="s">
        <v>112</v>
      </c>
      <c r="R302" t="s">
        <v>385</v>
      </c>
      <c r="S302" t="s">
        <v>364</v>
      </c>
      <c r="T302" t="s">
        <v>340</v>
      </c>
      <c r="U302">
        <v>20</v>
      </c>
      <c r="V302">
        <v>15</v>
      </c>
      <c r="W302" t="str">
        <f>"8.1"</f>
        <v>8.1</v>
      </c>
      <c r="X302" t="s">
        <v>204</v>
      </c>
      <c r="AA302" t="s">
        <v>94</v>
      </c>
      <c r="AB302" t="s">
        <v>95</v>
      </c>
      <c r="AC302" t="s">
        <v>96</v>
      </c>
      <c r="AD302" t="s">
        <v>95</v>
      </c>
      <c r="AE302" t="s">
        <v>95</v>
      </c>
      <c r="AF302" t="s">
        <v>95</v>
      </c>
      <c r="AN302" t="s">
        <v>95</v>
      </c>
      <c r="AQ302" t="s">
        <v>340</v>
      </c>
      <c r="AR302" t="s">
        <v>386</v>
      </c>
      <c r="AS302">
        <v>5838</v>
      </c>
      <c r="AT302" t="s">
        <v>198</v>
      </c>
      <c r="AU302" t="s">
        <v>204</v>
      </c>
      <c r="AV302">
        <v>20788</v>
      </c>
      <c r="AW302">
        <v>20788</v>
      </c>
      <c r="AX302">
        <v>20788</v>
      </c>
      <c r="AY302">
        <v>0</v>
      </c>
      <c r="AZ302" t="s">
        <v>290</v>
      </c>
      <c r="BB302">
        <v>492510</v>
      </c>
      <c r="BC302" t="s">
        <v>99</v>
      </c>
      <c r="BD302" t="s">
        <v>268</v>
      </c>
      <c r="BE302" t="s">
        <v>290</v>
      </c>
      <c r="BF302" s="1">
        <v>46268</v>
      </c>
      <c r="BG302" t="s">
        <v>100</v>
      </c>
      <c r="BH302" t="str">
        <f t="shared" si="16"/>
        <v>720914577</v>
      </c>
      <c r="BI302" t="s">
        <v>101</v>
      </c>
      <c r="BJ302" t="s">
        <v>102</v>
      </c>
      <c r="BK302" t="s">
        <v>102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</row>
    <row r="303" spans="1:78">
      <c r="A303" t="s">
        <v>402</v>
      </c>
      <c r="B303" t="s">
        <v>380</v>
      </c>
      <c r="C303" t="s">
        <v>154</v>
      </c>
      <c r="D303" t="s">
        <v>381</v>
      </c>
      <c r="E303">
        <v>5891</v>
      </c>
      <c r="F303" t="s">
        <v>382</v>
      </c>
      <c r="G303">
        <v>1464860</v>
      </c>
      <c r="H303">
        <v>1161796</v>
      </c>
      <c r="I303">
        <v>37588034</v>
      </c>
      <c r="J303">
        <v>440129</v>
      </c>
      <c r="L303" t="s">
        <v>383</v>
      </c>
      <c r="M303" t="s">
        <v>384</v>
      </c>
      <c r="N303" t="s">
        <v>87</v>
      </c>
      <c r="O303" t="s">
        <v>363</v>
      </c>
      <c r="P303" t="s">
        <v>363</v>
      </c>
      <c r="Q303" t="s">
        <v>112</v>
      </c>
      <c r="R303" t="s">
        <v>385</v>
      </c>
      <c r="S303" t="s">
        <v>364</v>
      </c>
      <c r="T303" t="s">
        <v>340</v>
      </c>
      <c r="U303">
        <v>21</v>
      </c>
      <c r="V303">
        <v>16</v>
      </c>
      <c r="W303" t="str">
        <f>"8.2"</f>
        <v>8.2</v>
      </c>
      <c r="X303" t="s">
        <v>398</v>
      </c>
      <c r="AA303" t="s">
        <v>94</v>
      </c>
      <c r="AB303" t="s">
        <v>95</v>
      </c>
      <c r="AC303" t="s">
        <v>96</v>
      </c>
      <c r="AD303" t="s">
        <v>95</v>
      </c>
      <c r="AE303" t="s">
        <v>95</v>
      </c>
      <c r="AF303" t="s">
        <v>95</v>
      </c>
      <c r="AN303" t="s">
        <v>95</v>
      </c>
      <c r="AQ303" t="s">
        <v>340</v>
      </c>
      <c r="AR303" t="s">
        <v>386</v>
      </c>
      <c r="AS303">
        <v>5804</v>
      </c>
      <c r="AT303" t="s">
        <v>198</v>
      </c>
      <c r="AU303" t="s">
        <v>399</v>
      </c>
      <c r="AV303">
        <v>20788</v>
      </c>
      <c r="AW303">
        <v>20788</v>
      </c>
      <c r="AX303">
        <v>20788</v>
      </c>
      <c r="AY303">
        <v>0</v>
      </c>
      <c r="AZ303" t="s">
        <v>290</v>
      </c>
      <c r="BB303">
        <v>492510</v>
      </c>
      <c r="BC303" t="s">
        <v>99</v>
      </c>
      <c r="BD303" t="s">
        <v>268</v>
      </c>
      <c r="BE303" t="s">
        <v>290</v>
      </c>
      <c r="BF303" s="1">
        <v>46268</v>
      </c>
      <c r="BG303" t="s">
        <v>100</v>
      </c>
      <c r="BH303" t="str">
        <f t="shared" ref="BH303:BH321" si="17">"720914577"</f>
        <v>720914577</v>
      </c>
      <c r="BI303" t="s">
        <v>101</v>
      </c>
      <c r="BJ303" t="s">
        <v>102</v>
      </c>
      <c r="BK303" t="s">
        <v>102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</row>
    <row r="304" spans="1:78">
      <c r="A304" t="s">
        <v>402</v>
      </c>
      <c r="B304" t="s">
        <v>380</v>
      </c>
      <c r="C304" t="s">
        <v>154</v>
      </c>
      <c r="D304" t="s">
        <v>381</v>
      </c>
      <c r="E304">
        <v>5891</v>
      </c>
      <c r="F304" t="s">
        <v>382</v>
      </c>
      <c r="G304">
        <v>1464860</v>
      </c>
      <c r="H304">
        <v>1161796</v>
      </c>
      <c r="I304">
        <v>37588034</v>
      </c>
      <c r="J304">
        <v>440129</v>
      </c>
      <c r="L304" t="s">
        <v>383</v>
      </c>
      <c r="M304" t="s">
        <v>384</v>
      </c>
      <c r="N304" t="s">
        <v>87</v>
      </c>
      <c r="O304" t="s">
        <v>363</v>
      </c>
      <c r="P304" t="s">
        <v>363</v>
      </c>
      <c r="Q304" t="s">
        <v>112</v>
      </c>
      <c r="R304" t="s">
        <v>385</v>
      </c>
      <c r="S304" t="s">
        <v>364</v>
      </c>
      <c r="T304" t="s">
        <v>340</v>
      </c>
      <c r="U304">
        <v>22</v>
      </c>
      <c r="V304">
        <v>17</v>
      </c>
      <c r="W304" t="str">
        <f>"8.3"</f>
        <v>8.3</v>
      </c>
      <c r="X304" t="s">
        <v>400</v>
      </c>
      <c r="AA304" t="s">
        <v>94</v>
      </c>
      <c r="AB304" t="s">
        <v>95</v>
      </c>
      <c r="AC304" t="s">
        <v>96</v>
      </c>
      <c r="AD304" t="s">
        <v>95</v>
      </c>
      <c r="AE304" t="s">
        <v>95</v>
      </c>
      <c r="AF304" t="s">
        <v>95</v>
      </c>
      <c r="AN304" t="s">
        <v>95</v>
      </c>
      <c r="AQ304" t="s">
        <v>340</v>
      </c>
      <c r="AR304" t="s">
        <v>386</v>
      </c>
      <c r="AS304">
        <v>6180</v>
      </c>
      <c r="AT304" t="s">
        <v>98</v>
      </c>
      <c r="AU304" t="s">
        <v>401</v>
      </c>
      <c r="AV304">
        <v>20788</v>
      </c>
      <c r="AW304">
        <v>20788</v>
      </c>
      <c r="AX304">
        <v>20788</v>
      </c>
      <c r="AY304">
        <v>0</v>
      </c>
      <c r="AZ304" t="s">
        <v>290</v>
      </c>
      <c r="BB304">
        <v>492510</v>
      </c>
      <c r="BC304" t="s">
        <v>99</v>
      </c>
      <c r="BD304" t="s">
        <v>268</v>
      </c>
      <c r="BE304" t="s">
        <v>290</v>
      </c>
      <c r="BF304" s="1">
        <v>46268</v>
      </c>
      <c r="BG304" t="s">
        <v>100</v>
      </c>
      <c r="BH304" t="str">
        <f t="shared" si="17"/>
        <v>720914577</v>
      </c>
      <c r="BI304" t="s">
        <v>101</v>
      </c>
      <c r="BJ304" t="s">
        <v>102</v>
      </c>
      <c r="BK304" t="s">
        <v>102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</row>
    <row r="305" spans="1:78">
      <c r="A305" t="s">
        <v>205</v>
      </c>
      <c r="B305" t="s">
        <v>380</v>
      </c>
      <c r="C305" t="s">
        <v>154</v>
      </c>
      <c r="D305" t="s">
        <v>381</v>
      </c>
      <c r="E305">
        <v>5891</v>
      </c>
      <c r="F305" t="s">
        <v>382</v>
      </c>
      <c r="G305">
        <v>1464860</v>
      </c>
      <c r="H305">
        <v>1161796</v>
      </c>
      <c r="I305">
        <v>37219590</v>
      </c>
      <c r="J305">
        <v>440129</v>
      </c>
      <c r="L305" t="s">
        <v>383</v>
      </c>
      <c r="M305" t="s">
        <v>384</v>
      </c>
      <c r="N305" t="s">
        <v>87</v>
      </c>
      <c r="O305" t="s">
        <v>363</v>
      </c>
      <c r="P305" t="s">
        <v>363</v>
      </c>
      <c r="Q305" t="s">
        <v>112</v>
      </c>
      <c r="R305" t="s">
        <v>385</v>
      </c>
      <c r="S305" t="s">
        <v>364</v>
      </c>
      <c r="T305" t="s">
        <v>340</v>
      </c>
      <c r="U305">
        <v>5</v>
      </c>
      <c r="V305">
        <v>1</v>
      </c>
      <c r="W305" t="str">
        <f>"2"</f>
        <v>2</v>
      </c>
      <c r="X305" t="s">
        <v>211</v>
      </c>
      <c r="AA305" t="s">
        <v>94</v>
      </c>
      <c r="AB305" t="s">
        <v>95</v>
      </c>
      <c r="AC305" t="s">
        <v>96</v>
      </c>
      <c r="AD305" t="s">
        <v>95</v>
      </c>
      <c r="AE305" t="s">
        <v>95</v>
      </c>
      <c r="AF305" t="s">
        <v>95</v>
      </c>
      <c r="AN305" t="s">
        <v>95</v>
      </c>
      <c r="AQ305" t="s">
        <v>340</v>
      </c>
      <c r="AR305" t="s">
        <v>386</v>
      </c>
      <c r="AS305">
        <v>5030</v>
      </c>
      <c r="AT305" t="s">
        <v>126</v>
      </c>
      <c r="AU305" t="s">
        <v>212</v>
      </c>
      <c r="AV305">
        <v>2899</v>
      </c>
      <c r="AW305">
        <v>2899</v>
      </c>
      <c r="AX305">
        <v>2899</v>
      </c>
      <c r="AY305">
        <v>0</v>
      </c>
      <c r="AZ305" t="s">
        <v>290</v>
      </c>
      <c r="BB305">
        <v>492510</v>
      </c>
      <c r="BC305" t="s">
        <v>99</v>
      </c>
      <c r="BD305" t="s">
        <v>268</v>
      </c>
      <c r="BE305" t="s">
        <v>290</v>
      </c>
      <c r="BF305" s="1">
        <v>46268</v>
      </c>
      <c r="BG305" t="s">
        <v>100</v>
      </c>
      <c r="BH305" t="str">
        <f t="shared" si="17"/>
        <v>720914577</v>
      </c>
      <c r="BI305" t="s">
        <v>101</v>
      </c>
      <c r="BJ305" t="s">
        <v>102</v>
      </c>
      <c r="BK305" t="s">
        <v>102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</row>
    <row r="306" spans="1:78">
      <c r="A306" t="s">
        <v>205</v>
      </c>
      <c r="B306" t="s">
        <v>380</v>
      </c>
      <c r="C306" t="s">
        <v>154</v>
      </c>
      <c r="D306" t="s">
        <v>381</v>
      </c>
      <c r="E306">
        <v>5891</v>
      </c>
      <c r="F306" t="s">
        <v>382</v>
      </c>
      <c r="G306">
        <v>1464860</v>
      </c>
      <c r="H306">
        <v>1161796</v>
      </c>
      <c r="I306">
        <v>37219590</v>
      </c>
      <c r="J306">
        <v>440129</v>
      </c>
      <c r="L306" t="s">
        <v>383</v>
      </c>
      <c r="M306" t="s">
        <v>384</v>
      </c>
      <c r="N306" t="s">
        <v>87</v>
      </c>
      <c r="O306" t="s">
        <v>363</v>
      </c>
      <c r="P306" t="s">
        <v>363</v>
      </c>
      <c r="Q306" t="s">
        <v>112</v>
      </c>
      <c r="R306" t="s">
        <v>385</v>
      </c>
      <c r="S306" t="s">
        <v>364</v>
      </c>
      <c r="T306" t="s">
        <v>340</v>
      </c>
      <c r="U306">
        <v>6</v>
      </c>
      <c r="V306">
        <v>2</v>
      </c>
      <c r="W306" t="str">
        <f>"3"</f>
        <v>3</v>
      </c>
      <c r="X306" t="s">
        <v>162</v>
      </c>
      <c r="AA306" t="s">
        <v>94</v>
      </c>
      <c r="AB306" t="s">
        <v>95</v>
      </c>
      <c r="AC306" t="s">
        <v>96</v>
      </c>
      <c r="AD306" t="s">
        <v>95</v>
      </c>
      <c r="AE306" t="s">
        <v>95</v>
      </c>
      <c r="AF306" t="s">
        <v>95</v>
      </c>
      <c r="AN306" t="s">
        <v>95</v>
      </c>
      <c r="AQ306" t="s">
        <v>340</v>
      </c>
      <c r="AR306" t="s">
        <v>386</v>
      </c>
      <c r="AS306">
        <v>5000</v>
      </c>
      <c r="AT306" t="s">
        <v>126</v>
      </c>
      <c r="AU306" t="s">
        <v>162</v>
      </c>
      <c r="AV306">
        <v>2899</v>
      </c>
      <c r="AW306">
        <v>2899</v>
      </c>
      <c r="AX306">
        <v>2899</v>
      </c>
      <c r="AY306">
        <v>0</v>
      </c>
      <c r="AZ306" t="s">
        <v>290</v>
      </c>
      <c r="BB306">
        <v>492510</v>
      </c>
      <c r="BC306" t="s">
        <v>99</v>
      </c>
      <c r="BD306" t="s">
        <v>268</v>
      </c>
      <c r="BE306" t="s">
        <v>290</v>
      </c>
      <c r="BF306" s="1">
        <v>46268</v>
      </c>
      <c r="BG306" t="s">
        <v>100</v>
      </c>
      <c r="BH306" t="str">
        <f t="shared" si="17"/>
        <v>720914577</v>
      </c>
      <c r="BI306" t="s">
        <v>101</v>
      </c>
      <c r="BJ306" t="s">
        <v>102</v>
      </c>
      <c r="BK306" t="s">
        <v>102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</row>
    <row r="307" spans="1:78">
      <c r="A307" t="s">
        <v>205</v>
      </c>
      <c r="B307" t="s">
        <v>380</v>
      </c>
      <c r="C307" t="s">
        <v>154</v>
      </c>
      <c r="D307" t="s">
        <v>381</v>
      </c>
      <c r="E307">
        <v>5891</v>
      </c>
      <c r="F307" t="s">
        <v>382</v>
      </c>
      <c r="G307">
        <v>1464860</v>
      </c>
      <c r="H307">
        <v>1161796</v>
      </c>
      <c r="I307">
        <v>37219590</v>
      </c>
      <c r="J307">
        <v>440129</v>
      </c>
      <c r="L307" t="s">
        <v>383</v>
      </c>
      <c r="M307" t="s">
        <v>384</v>
      </c>
      <c r="N307" t="s">
        <v>87</v>
      </c>
      <c r="O307" t="s">
        <v>363</v>
      </c>
      <c r="P307" t="s">
        <v>363</v>
      </c>
      <c r="Q307" t="s">
        <v>112</v>
      </c>
      <c r="R307" t="s">
        <v>385</v>
      </c>
      <c r="S307" t="s">
        <v>364</v>
      </c>
      <c r="T307" t="s">
        <v>340</v>
      </c>
      <c r="U307">
        <v>7</v>
      </c>
      <c r="V307">
        <v>3</v>
      </c>
      <c r="W307" t="str">
        <f>"4"</f>
        <v>4</v>
      </c>
      <c r="X307" t="s">
        <v>193</v>
      </c>
      <c r="AA307" t="s">
        <v>94</v>
      </c>
      <c r="AB307" t="s">
        <v>95</v>
      </c>
      <c r="AC307" t="s">
        <v>96</v>
      </c>
      <c r="AD307" t="s">
        <v>123</v>
      </c>
      <c r="AE307" t="s">
        <v>123</v>
      </c>
      <c r="AF307" t="s">
        <v>95</v>
      </c>
      <c r="AN307" t="s">
        <v>95</v>
      </c>
      <c r="AQ307" t="s">
        <v>340</v>
      </c>
      <c r="AR307" t="s">
        <v>386</v>
      </c>
      <c r="AS307">
        <v>5600</v>
      </c>
      <c r="AT307" t="s">
        <v>128</v>
      </c>
      <c r="AU307" t="s">
        <v>194</v>
      </c>
      <c r="AV307">
        <v>2899</v>
      </c>
      <c r="AW307">
        <v>2899</v>
      </c>
      <c r="AX307">
        <v>2899</v>
      </c>
      <c r="AY307">
        <v>0</v>
      </c>
      <c r="AZ307" t="s">
        <v>290</v>
      </c>
      <c r="BB307">
        <v>492510</v>
      </c>
      <c r="BC307" t="s">
        <v>99</v>
      </c>
      <c r="BD307" t="s">
        <v>268</v>
      </c>
      <c r="BE307" t="s">
        <v>290</v>
      </c>
      <c r="BF307" s="1">
        <v>46268</v>
      </c>
      <c r="BG307" t="s">
        <v>100</v>
      </c>
      <c r="BH307" t="str">
        <f t="shared" si="17"/>
        <v>720914577</v>
      </c>
      <c r="BI307" t="s">
        <v>101</v>
      </c>
      <c r="BJ307" t="s">
        <v>123</v>
      </c>
      <c r="BK307" t="s">
        <v>123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</row>
    <row r="308" spans="1:78">
      <c r="A308" t="s">
        <v>205</v>
      </c>
      <c r="B308" t="s">
        <v>380</v>
      </c>
      <c r="C308" t="s">
        <v>154</v>
      </c>
      <c r="D308" t="s">
        <v>381</v>
      </c>
      <c r="E308">
        <v>5891</v>
      </c>
      <c r="F308" t="s">
        <v>382</v>
      </c>
      <c r="G308">
        <v>1464860</v>
      </c>
      <c r="H308">
        <v>1161796</v>
      </c>
      <c r="I308">
        <v>37219590</v>
      </c>
      <c r="J308">
        <v>440129</v>
      </c>
      <c r="L308" t="s">
        <v>383</v>
      </c>
      <c r="M308" t="s">
        <v>384</v>
      </c>
      <c r="N308" t="s">
        <v>87</v>
      </c>
      <c r="O308" t="s">
        <v>363</v>
      </c>
      <c r="P308" t="s">
        <v>363</v>
      </c>
      <c r="Q308" t="s">
        <v>112</v>
      </c>
      <c r="R308" t="s">
        <v>385</v>
      </c>
      <c r="S308" t="s">
        <v>364</v>
      </c>
      <c r="T308" t="s">
        <v>340</v>
      </c>
      <c r="U308">
        <v>8</v>
      </c>
      <c r="V308">
        <v>4</v>
      </c>
      <c r="W308" t="str">
        <f>"5.1"</f>
        <v>5.1</v>
      </c>
      <c r="X308" t="s">
        <v>387</v>
      </c>
      <c r="AA308" t="s">
        <v>94</v>
      </c>
      <c r="AB308" t="s">
        <v>95</v>
      </c>
      <c r="AC308" t="s">
        <v>96</v>
      </c>
      <c r="AD308" t="s">
        <v>95</v>
      </c>
      <c r="AE308" t="s">
        <v>95</v>
      </c>
      <c r="AF308" t="s">
        <v>95</v>
      </c>
      <c r="AN308" t="s">
        <v>95</v>
      </c>
      <c r="AQ308" t="s">
        <v>340</v>
      </c>
      <c r="AR308" t="s">
        <v>386</v>
      </c>
      <c r="AS308">
        <v>5500</v>
      </c>
      <c r="AT308" t="s">
        <v>128</v>
      </c>
      <c r="AU308" t="s">
        <v>214</v>
      </c>
      <c r="AV308">
        <v>2899</v>
      </c>
      <c r="AW308">
        <v>2899</v>
      </c>
      <c r="AX308">
        <v>2899</v>
      </c>
      <c r="AY308">
        <v>0</v>
      </c>
      <c r="AZ308" t="s">
        <v>290</v>
      </c>
      <c r="BB308">
        <v>492510</v>
      </c>
      <c r="BC308" t="s">
        <v>99</v>
      </c>
      <c r="BD308" t="s">
        <v>268</v>
      </c>
      <c r="BE308" t="s">
        <v>290</v>
      </c>
      <c r="BF308" s="1">
        <v>46268</v>
      </c>
      <c r="BG308" t="s">
        <v>100</v>
      </c>
      <c r="BH308" t="str">
        <f t="shared" si="17"/>
        <v>720914577</v>
      </c>
      <c r="BI308" t="s">
        <v>101</v>
      </c>
      <c r="BJ308" t="s">
        <v>102</v>
      </c>
      <c r="BK308" t="s">
        <v>102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</row>
    <row r="309" spans="1:78">
      <c r="A309" t="s">
        <v>205</v>
      </c>
      <c r="B309" t="s">
        <v>380</v>
      </c>
      <c r="C309" t="s">
        <v>154</v>
      </c>
      <c r="D309" t="s">
        <v>381</v>
      </c>
      <c r="E309">
        <v>5891</v>
      </c>
      <c r="F309" t="s">
        <v>382</v>
      </c>
      <c r="G309">
        <v>1464860</v>
      </c>
      <c r="H309">
        <v>1161796</v>
      </c>
      <c r="I309">
        <v>37219590</v>
      </c>
      <c r="J309">
        <v>440129</v>
      </c>
      <c r="L309" t="s">
        <v>383</v>
      </c>
      <c r="M309" t="s">
        <v>384</v>
      </c>
      <c r="N309" t="s">
        <v>87</v>
      </c>
      <c r="O309" t="s">
        <v>363</v>
      </c>
      <c r="P309" t="s">
        <v>363</v>
      </c>
      <c r="Q309" t="s">
        <v>112</v>
      </c>
      <c r="R309" t="s">
        <v>385</v>
      </c>
      <c r="S309" t="s">
        <v>364</v>
      </c>
      <c r="T309" t="s">
        <v>340</v>
      </c>
      <c r="U309">
        <v>9</v>
      </c>
      <c r="V309">
        <v>5</v>
      </c>
      <c r="W309" t="str">
        <f>"5.2"</f>
        <v>5.2</v>
      </c>
      <c r="X309" t="s">
        <v>388</v>
      </c>
      <c r="AA309" t="s">
        <v>94</v>
      </c>
      <c r="AB309" t="s">
        <v>95</v>
      </c>
      <c r="AC309" t="s">
        <v>96</v>
      </c>
      <c r="AD309" t="s">
        <v>95</v>
      </c>
      <c r="AE309" t="s">
        <v>95</v>
      </c>
      <c r="AF309" t="s">
        <v>95</v>
      </c>
      <c r="AN309" t="s">
        <v>95</v>
      </c>
      <c r="AQ309" t="s">
        <v>340</v>
      </c>
      <c r="AR309" t="s">
        <v>386</v>
      </c>
      <c r="AS309">
        <v>5505</v>
      </c>
      <c r="AT309" t="s">
        <v>128</v>
      </c>
      <c r="AU309" t="s">
        <v>257</v>
      </c>
      <c r="AV309">
        <v>2899</v>
      </c>
      <c r="AW309">
        <v>2899</v>
      </c>
      <c r="AX309">
        <v>2899</v>
      </c>
      <c r="AY309">
        <v>0</v>
      </c>
      <c r="AZ309" t="s">
        <v>290</v>
      </c>
      <c r="BB309">
        <v>492510</v>
      </c>
      <c r="BC309" t="s">
        <v>99</v>
      </c>
      <c r="BD309" t="s">
        <v>268</v>
      </c>
      <c r="BE309" t="s">
        <v>290</v>
      </c>
      <c r="BF309" s="1">
        <v>46268</v>
      </c>
      <c r="BG309" t="s">
        <v>100</v>
      </c>
      <c r="BH309" t="str">
        <f t="shared" si="17"/>
        <v>720914577</v>
      </c>
      <c r="BI309" t="s">
        <v>101</v>
      </c>
      <c r="BJ309" t="s">
        <v>102</v>
      </c>
      <c r="BK309" t="s">
        <v>102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</row>
    <row r="310" spans="1:78">
      <c r="A310" t="s">
        <v>205</v>
      </c>
      <c r="B310" t="s">
        <v>380</v>
      </c>
      <c r="C310" t="s">
        <v>154</v>
      </c>
      <c r="D310" t="s">
        <v>381</v>
      </c>
      <c r="E310">
        <v>5891</v>
      </c>
      <c r="F310" t="s">
        <v>382</v>
      </c>
      <c r="G310">
        <v>1464860</v>
      </c>
      <c r="H310">
        <v>1161796</v>
      </c>
      <c r="I310">
        <v>37219590</v>
      </c>
      <c r="J310">
        <v>440129</v>
      </c>
      <c r="L310" t="s">
        <v>383</v>
      </c>
      <c r="M310" t="s">
        <v>384</v>
      </c>
      <c r="N310" t="s">
        <v>87</v>
      </c>
      <c r="O310" t="s">
        <v>363</v>
      </c>
      <c r="P310" t="s">
        <v>363</v>
      </c>
      <c r="Q310" t="s">
        <v>112</v>
      </c>
      <c r="R310" t="s">
        <v>385</v>
      </c>
      <c r="S310" t="s">
        <v>364</v>
      </c>
      <c r="T310" t="s">
        <v>340</v>
      </c>
      <c r="U310">
        <v>11</v>
      </c>
      <c r="V310">
        <v>6</v>
      </c>
      <c r="W310" t="str">
        <f>"6.1.1"</f>
        <v>6.1.1</v>
      </c>
      <c r="X310" t="s">
        <v>389</v>
      </c>
      <c r="Y310">
        <v>3536296</v>
      </c>
      <c r="Z310">
        <v>380404</v>
      </c>
      <c r="AA310" t="s">
        <v>94</v>
      </c>
      <c r="AB310" t="s">
        <v>95</v>
      </c>
      <c r="AC310" t="s">
        <v>96</v>
      </c>
      <c r="AD310" t="s">
        <v>369</v>
      </c>
      <c r="AE310" t="s">
        <v>369</v>
      </c>
      <c r="AF310" t="s">
        <v>95</v>
      </c>
      <c r="AN310" t="s">
        <v>95</v>
      </c>
      <c r="AQ310" t="s">
        <v>340</v>
      </c>
      <c r="AR310" t="s">
        <v>386</v>
      </c>
      <c r="AS310">
        <v>5102</v>
      </c>
      <c r="AT310" t="s">
        <v>117</v>
      </c>
      <c r="AU310" t="s">
        <v>390</v>
      </c>
      <c r="AV310">
        <v>2899</v>
      </c>
      <c r="AW310">
        <v>2899</v>
      </c>
      <c r="AX310">
        <v>2899</v>
      </c>
      <c r="AY310">
        <v>0</v>
      </c>
      <c r="AZ310" t="s">
        <v>290</v>
      </c>
      <c r="BB310">
        <v>492510</v>
      </c>
      <c r="BC310" t="s">
        <v>99</v>
      </c>
      <c r="BD310" t="s">
        <v>268</v>
      </c>
      <c r="BE310" t="s">
        <v>290</v>
      </c>
      <c r="BF310" s="1">
        <v>46268</v>
      </c>
      <c r="BG310" t="s">
        <v>100</v>
      </c>
      <c r="BH310" t="str">
        <f t="shared" si="17"/>
        <v>720914577</v>
      </c>
      <c r="BI310" t="s">
        <v>101</v>
      </c>
      <c r="BJ310" t="s">
        <v>123</v>
      </c>
      <c r="BK310" t="s">
        <v>123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</row>
    <row r="311" spans="1:78">
      <c r="A311" t="s">
        <v>205</v>
      </c>
      <c r="B311" t="s">
        <v>380</v>
      </c>
      <c r="C311" t="s">
        <v>154</v>
      </c>
      <c r="D311" t="s">
        <v>381</v>
      </c>
      <c r="E311">
        <v>5891</v>
      </c>
      <c r="F311" t="s">
        <v>382</v>
      </c>
      <c r="G311">
        <v>1464860</v>
      </c>
      <c r="H311">
        <v>1161796</v>
      </c>
      <c r="I311">
        <v>37219590</v>
      </c>
      <c r="J311">
        <v>440129</v>
      </c>
      <c r="L311" t="s">
        <v>383</v>
      </c>
      <c r="M311" t="s">
        <v>384</v>
      </c>
      <c r="N311" t="s">
        <v>87</v>
      </c>
      <c r="O311" t="s">
        <v>363</v>
      </c>
      <c r="P311" t="s">
        <v>363</v>
      </c>
      <c r="Q311" t="s">
        <v>112</v>
      </c>
      <c r="R311" t="s">
        <v>385</v>
      </c>
      <c r="S311" t="s">
        <v>364</v>
      </c>
      <c r="T311" t="s">
        <v>340</v>
      </c>
      <c r="U311">
        <v>12</v>
      </c>
      <c r="V311">
        <v>7</v>
      </c>
      <c r="W311" t="str">
        <f>"6.2.1"</f>
        <v>6.2.1</v>
      </c>
      <c r="X311" t="s">
        <v>391</v>
      </c>
      <c r="Y311">
        <v>3536297</v>
      </c>
      <c r="Z311">
        <v>223561</v>
      </c>
      <c r="AA311" t="s">
        <v>94</v>
      </c>
      <c r="AB311" t="s">
        <v>95</v>
      </c>
      <c r="AC311" t="s">
        <v>96</v>
      </c>
      <c r="AD311" t="s">
        <v>95</v>
      </c>
      <c r="AE311" t="s">
        <v>95</v>
      </c>
      <c r="AF311" t="s">
        <v>95</v>
      </c>
      <c r="AN311" t="s">
        <v>95</v>
      </c>
      <c r="AQ311" t="s">
        <v>340</v>
      </c>
      <c r="AR311" t="s">
        <v>386</v>
      </c>
      <c r="AS311">
        <v>5102</v>
      </c>
      <c r="AT311" t="s">
        <v>117</v>
      </c>
      <c r="AU311" t="s">
        <v>390</v>
      </c>
      <c r="AV311">
        <v>2899</v>
      </c>
      <c r="AW311">
        <v>2899</v>
      </c>
      <c r="AX311">
        <v>2899</v>
      </c>
      <c r="AY311">
        <v>0</v>
      </c>
      <c r="AZ311" t="s">
        <v>290</v>
      </c>
      <c r="BB311">
        <v>492510</v>
      </c>
      <c r="BC311" t="s">
        <v>99</v>
      </c>
      <c r="BD311" t="s">
        <v>268</v>
      </c>
      <c r="BE311" t="s">
        <v>290</v>
      </c>
      <c r="BF311" s="1">
        <v>46268</v>
      </c>
      <c r="BG311" t="s">
        <v>100</v>
      </c>
      <c r="BH311" t="str">
        <f t="shared" si="17"/>
        <v>720914577</v>
      </c>
      <c r="BI311" t="s">
        <v>101</v>
      </c>
      <c r="BJ311" t="s">
        <v>102</v>
      </c>
      <c r="BK311" t="s">
        <v>102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</row>
    <row r="312" spans="1:78">
      <c r="A312" t="s">
        <v>205</v>
      </c>
      <c r="B312" t="s">
        <v>380</v>
      </c>
      <c r="C312" t="s">
        <v>154</v>
      </c>
      <c r="D312" t="s">
        <v>381</v>
      </c>
      <c r="E312">
        <v>5891</v>
      </c>
      <c r="F312" t="s">
        <v>382</v>
      </c>
      <c r="G312">
        <v>1464860</v>
      </c>
      <c r="H312">
        <v>1161796</v>
      </c>
      <c r="I312">
        <v>37219590</v>
      </c>
      <c r="J312">
        <v>440129</v>
      </c>
      <c r="L312" t="s">
        <v>383</v>
      </c>
      <c r="M312" t="s">
        <v>384</v>
      </c>
      <c r="N312" t="s">
        <v>87</v>
      </c>
      <c r="O312" t="s">
        <v>363</v>
      </c>
      <c r="P312" t="s">
        <v>363</v>
      </c>
      <c r="Q312" t="s">
        <v>112</v>
      </c>
      <c r="R312" t="s">
        <v>385</v>
      </c>
      <c r="S312" t="s">
        <v>364</v>
      </c>
      <c r="T312" t="s">
        <v>340</v>
      </c>
      <c r="U312">
        <v>13</v>
      </c>
      <c r="V312">
        <v>8</v>
      </c>
      <c r="W312" t="str">
        <f>"6.3.1"</f>
        <v>6.3.1</v>
      </c>
      <c r="X312" t="s">
        <v>392</v>
      </c>
      <c r="Y312">
        <v>3536298</v>
      </c>
      <c r="Z312">
        <v>502141</v>
      </c>
      <c r="AA312" t="s">
        <v>94</v>
      </c>
      <c r="AB312" t="s">
        <v>95</v>
      </c>
      <c r="AC312" t="s">
        <v>96</v>
      </c>
      <c r="AD312" t="s">
        <v>95</v>
      </c>
      <c r="AE312" t="s">
        <v>95</v>
      </c>
      <c r="AF312" t="s">
        <v>95</v>
      </c>
      <c r="AN312" t="s">
        <v>95</v>
      </c>
      <c r="AQ312" t="s">
        <v>340</v>
      </c>
      <c r="AR312" t="s">
        <v>386</v>
      </c>
      <c r="AS312">
        <v>5100</v>
      </c>
      <c r="AT312" t="s">
        <v>117</v>
      </c>
      <c r="AU312" t="s">
        <v>118</v>
      </c>
      <c r="AV312">
        <v>2899</v>
      </c>
      <c r="AW312">
        <v>2899</v>
      </c>
      <c r="AX312">
        <v>2899</v>
      </c>
      <c r="AY312">
        <v>0</v>
      </c>
      <c r="AZ312" t="s">
        <v>290</v>
      </c>
      <c r="BB312">
        <v>492510</v>
      </c>
      <c r="BC312" t="s">
        <v>99</v>
      </c>
      <c r="BD312" t="s">
        <v>268</v>
      </c>
      <c r="BE312" t="s">
        <v>290</v>
      </c>
      <c r="BF312" s="1">
        <v>46268</v>
      </c>
      <c r="BG312" t="s">
        <v>100</v>
      </c>
      <c r="BH312" t="str">
        <f t="shared" si="17"/>
        <v>720914577</v>
      </c>
      <c r="BI312" t="s">
        <v>101</v>
      </c>
      <c r="BJ312" t="s">
        <v>102</v>
      </c>
      <c r="BK312" t="s">
        <v>102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</row>
    <row r="313" spans="1:78">
      <c r="A313" t="s">
        <v>205</v>
      </c>
      <c r="B313" t="s">
        <v>380</v>
      </c>
      <c r="C313" t="s">
        <v>154</v>
      </c>
      <c r="D313" t="s">
        <v>381</v>
      </c>
      <c r="E313">
        <v>5891</v>
      </c>
      <c r="F313" t="s">
        <v>382</v>
      </c>
      <c r="G313">
        <v>1464860</v>
      </c>
      <c r="H313">
        <v>1161796</v>
      </c>
      <c r="I313">
        <v>37219590</v>
      </c>
      <c r="J313">
        <v>440129</v>
      </c>
      <c r="L313" t="s">
        <v>383</v>
      </c>
      <c r="M313" t="s">
        <v>384</v>
      </c>
      <c r="N313" t="s">
        <v>87</v>
      </c>
      <c r="O313" t="s">
        <v>363</v>
      </c>
      <c r="P313" t="s">
        <v>363</v>
      </c>
      <c r="Q313" t="s">
        <v>112</v>
      </c>
      <c r="R313" t="s">
        <v>385</v>
      </c>
      <c r="S313" t="s">
        <v>364</v>
      </c>
      <c r="T313" t="s">
        <v>340</v>
      </c>
      <c r="U313">
        <v>14</v>
      </c>
      <c r="V313">
        <v>9</v>
      </c>
      <c r="W313" t="str">
        <f>"6.3.2"</f>
        <v>6.3.2</v>
      </c>
      <c r="X313" t="s">
        <v>393</v>
      </c>
      <c r="Y313">
        <v>3536292</v>
      </c>
      <c r="Z313">
        <v>429132</v>
      </c>
      <c r="AA313" t="s">
        <v>94</v>
      </c>
      <c r="AB313" t="s">
        <v>95</v>
      </c>
      <c r="AC313" t="s">
        <v>96</v>
      </c>
      <c r="AD313" t="s">
        <v>95</v>
      </c>
      <c r="AE313" t="s">
        <v>95</v>
      </c>
      <c r="AF313" t="s">
        <v>95</v>
      </c>
      <c r="AN313" t="s">
        <v>95</v>
      </c>
      <c r="AQ313" t="s">
        <v>340</v>
      </c>
      <c r="AR313" t="s">
        <v>386</v>
      </c>
      <c r="AS313">
        <v>5100</v>
      </c>
      <c r="AT313" t="s">
        <v>117</v>
      </c>
      <c r="AU313" t="s">
        <v>118</v>
      </c>
      <c r="AV313">
        <v>2899</v>
      </c>
      <c r="AW313">
        <v>2899</v>
      </c>
      <c r="AX313">
        <v>2899</v>
      </c>
      <c r="AY313">
        <v>0</v>
      </c>
      <c r="AZ313" t="s">
        <v>290</v>
      </c>
      <c r="BB313">
        <v>492510</v>
      </c>
      <c r="BC313" t="s">
        <v>99</v>
      </c>
      <c r="BD313" t="s">
        <v>268</v>
      </c>
      <c r="BE313" t="s">
        <v>290</v>
      </c>
      <c r="BF313" s="1">
        <v>46268</v>
      </c>
      <c r="BG313" t="s">
        <v>100</v>
      </c>
      <c r="BH313" t="str">
        <f t="shared" si="17"/>
        <v>720914577</v>
      </c>
      <c r="BI313" t="s">
        <v>101</v>
      </c>
      <c r="BJ313" t="s">
        <v>102</v>
      </c>
      <c r="BK313" t="s">
        <v>102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</row>
    <row r="314" spans="1:78">
      <c r="A314" t="s">
        <v>205</v>
      </c>
      <c r="B314" t="s">
        <v>380</v>
      </c>
      <c r="C314" t="s">
        <v>154</v>
      </c>
      <c r="D314" t="s">
        <v>381</v>
      </c>
      <c r="E314">
        <v>5891</v>
      </c>
      <c r="F314" t="s">
        <v>382</v>
      </c>
      <c r="G314">
        <v>1464860</v>
      </c>
      <c r="H314">
        <v>1161796</v>
      </c>
      <c r="I314">
        <v>37219590</v>
      </c>
      <c r="J314">
        <v>440129</v>
      </c>
      <c r="L314" t="s">
        <v>383</v>
      </c>
      <c r="M314" t="s">
        <v>384</v>
      </c>
      <c r="N314" t="s">
        <v>87</v>
      </c>
      <c r="O314" t="s">
        <v>363</v>
      </c>
      <c r="P314" t="s">
        <v>363</v>
      </c>
      <c r="Q314" t="s">
        <v>112</v>
      </c>
      <c r="R314" t="s">
        <v>385</v>
      </c>
      <c r="S314" t="s">
        <v>364</v>
      </c>
      <c r="T314" t="s">
        <v>340</v>
      </c>
      <c r="U314">
        <v>15</v>
      </c>
      <c r="V314">
        <v>10</v>
      </c>
      <c r="W314" t="str">
        <f>"6.3.3"</f>
        <v>6.3.3</v>
      </c>
      <c r="X314" t="s">
        <v>394</v>
      </c>
      <c r="Y314">
        <v>3536300</v>
      </c>
      <c r="Z314">
        <v>335395</v>
      </c>
      <c r="AA314" t="s">
        <v>94</v>
      </c>
      <c r="AB314" t="s">
        <v>95</v>
      </c>
      <c r="AC314" t="s">
        <v>96</v>
      </c>
      <c r="AD314" t="s">
        <v>95</v>
      </c>
      <c r="AE314" t="s">
        <v>95</v>
      </c>
      <c r="AF314" t="s">
        <v>95</v>
      </c>
      <c r="AN314" t="s">
        <v>95</v>
      </c>
      <c r="AQ314" t="s">
        <v>340</v>
      </c>
      <c r="AR314" t="s">
        <v>386</v>
      </c>
      <c r="AS314">
        <v>5100</v>
      </c>
      <c r="AT314" t="s">
        <v>117</v>
      </c>
      <c r="AU314" t="s">
        <v>118</v>
      </c>
      <c r="AV314">
        <v>2899</v>
      </c>
      <c r="AW314">
        <v>2899</v>
      </c>
      <c r="AX314">
        <v>2899</v>
      </c>
      <c r="AY314">
        <v>0</v>
      </c>
      <c r="AZ314" t="s">
        <v>290</v>
      </c>
      <c r="BB314">
        <v>492510</v>
      </c>
      <c r="BC314" t="s">
        <v>99</v>
      </c>
      <c r="BD314" t="s">
        <v>268</v>
      </c>
      <c r="BE314" t="s">
        <v>290</v>
      </c>
      <c r="BF314" s="1">
        <v>46268</v>
      </c>
      <c r="BG314" t="s">
        <v>100</v>
      </c>
      <c r="BH314" t="str">
        <f t="shared" si="17"/>
        <v>720914577</v>
      </c>
      <c r="BI314" t="s">
        <v>101</v>
      </c>
      <c r="BJ314" t="s">
        <v>102</v>
      </c>
      <c r="BK314" t="s">
        <v>102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</row>
    <row r="315" spans="1:78">
      <c r="A315" t="s">
        <v>205</v>
      </c>
      <c r="B315" t="s">
        <v>380</v>
      </c>
      <c r="C315" t="s">
        <v>154</v>
      </c>
      <c r="D315" t="s">
        <v>381</v>
      </c>
      <c r="E315">
        <v>5891</v>
      </c>
      <c r="F315" t="s">
        <v>382</v>
      </c>
      <c r="G315">
        <v>1464860</v>
      </c>
      <c r="H315">
        <v>1161796</v>
      </c>
      <c r="I315">
        <v>37219590</v>
      </c>
      <c r="J315">
        <v>440129</v>
      </c>
      <c r="L315" t="s">
        <v>383</v>
      </c>
      <c r="M315" t="s">
        <v>384</v>
      </c>
      <c r="N315" t="s">
        <v>87</v>
      </c>
      <c r="O315" t="s">
        <v>363</v>
      </c>
      <c r="P315" t="s">
        <v>363</v>
      </c>
      <c r="Q315" t="s">
        <v>112</v>
      </c>
      <c r="R315" t="s">
        <v>385</v>
      </c>
      <c r="S315" t="s">
        <v>364</v>
      </c>
      <c r="T315" t="s">
        <v>340</v>
      </c>
      <c r="U315">
        <v>16</v>
      </c>
      <c r="V315">
        <v>11</v>
      </c>
      <c r="W315" t="str">
        <f>"6.3.4"</f>
        <v>6.3.4</v>
      </c>
      <c r="X315" t="s">
        <v>395</v>
      </c>
      <c r="Y315">
        <v>3536301</v>
      </c>
      <c r="Z315">
        <v>315922</v>
      </c>
      <c r="AA315" t="s">
        <v>94</v>
      </c>
      <c r="AB315" t="s">
        <v>95</v>
      </c>
      <c r="AC315" t="s">
        <v>96</v>
      </c>
      <c r="AD315" t="s">
        <v>95</v>
      </c>
      <c r="AE315" t="s">
        <v>95</v>
      </c>
      <c r="AF315" t="s">
        <v>95</v>
      </c>
      <c r="AN315" t="s">
        <v>95</v>
      </c>
      <c r="AQ315" t="s">
        <v>340</v>
      </c>
      <c r="AR315" t="s">
        <v>386</v>
      </c>
      <c r="AS315">
        <v>5100</v>
      </c>
      <c r="AT315" t="s">
        <v>117</v>
      </c>
      <c r="AU315" t="s">
        <v>118</v>
      </c>
      <c r="AV315">
        <v>2899</v>
      </c>
      <c r="AW315">
        <v>2899</v>
      </c>
      <c r="AX315">
        <v>2899</v>
      </c>
      <c r="AY315">
        <v>0</v>
      </c>
      <c r="AZ315" t="s">
        <v>290</v>
      </c>
      <c r="BB315">
        <v>492510</v>
      </c>
      <c r="BC315" t="s">
        <v>99</v>
      </c>
      <c r="BD315" t="s">
        <v>268</v>
      </c>
      <c r="BE315" t="s">
        <v>290</v>
      </c>
      <c r="BF315" s="1">
        <v>46268</v>
      </c>
      <c r="BG315" t="s">
        <v>100</v>
      </c>
      <c r="BH315" t="str">
        <f t="shared" si="17"/>
        <v>720914577</v>
      </c>
      <c r="BI315" t="s">
        <v>101</v>
      </c>
      <c r="BJ315" t="s">
        <v>102</v>
      </c>
      <c r="BK315" t="s">
        <v>102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</row>
    <row r="316" spans="1:78">
      <c r="A316" t="s">
        <v>205</v>
      </c>
      <c r="B316" t="s">
        <v>380</v>
      </c>
      <c r="C316" t="s">
        <v>154</v>
      </c>
      <c r="D316" t="s">
        <v>381</v>
      </c>
      <c r="E316">
        <v>5891</v>
      </c>
      <c r="F316" t="s">
        <v>382</v>
      </c>
      <c r="G316">
        <v>1464860</v>
      </c>
      <c r="H316">
        <v>1161796</v>
      </c>
      <c r="I316">
        <v>37219590</v>
      </c>
      <c r="J316">
        <v>440129</v>
      </c>
      <c r="L316" t="s">
        <v>383</v>
      </c>
      <c r="M316" t="s">
        <v>384</v>
      </c>
      <c r="N316" t="s">
        <v>87</v>
      </c>
      <c r="O316" t="s">
        <v>363</v>
      </c>
      <c r="P316" t="s">
        <v>363</v>
      </c>
      <c r="Q316" t="s">
        <v>112</v>
      </c>
      <c r="R316" t="s">
        <v>385</v>
      </c>
      <c r="S316" t="s">
        <v>364</v>
      </c>
      <c r="T316" t="s">
        <v>340</v>
      </c>
      <c r="U316">
        <v>17</v>
      </c>
      <c r="V316">
        <v>12</v>
      </c>
      <c r="W316" t="str">
        <f>"6.3.5"</f>
        <v>6.3.5</v>
      </c>
      <c r="X316" t="s">
        <v>396</v>
      </c>
      <c r="Y316">
        <v>3536302</v>
      </c>
      <c r="Z316">
        <v>516818</v>
      </c>
      <c r="AA316" t="s">
        <v>94</v>
      </c>
      <c r="AB316" t="s">
        <v>95</v>
      </c>
      <c r="AC316" t="s">
        <v>96</v>
      </c>
      <c r="AD316" t="s">
        <v>95</v>
      </c>
      <c r="AE316" t="s">
        <v>95</v>
      </c>
      <c r="AF316" t="s">
        <v>95</v>
      </c>
      <c r="AN316" t="s">
        <v>95</v>
      </c>
      <c r="AQ316" t="s">
        <v>340</v>
      </c>
      <c r="AR316" t="s">
        <v>386</v>
      </c>
      <c r="AS316">
        <v>5100</v>
      </c>
      <c r="AT316" t="s">
        <v>117</v>
      </c>
      <c r="AU316" t="s">
        <v>118</v>
      </c>
      <c r="AV316">
        <v>2899</v>
      </c>
      <c r="AW316">
        <v>2899</v>
      </c>
      <c r="AX316">
        <v>2899</v>
      </c>
      <c r="AY316">
        <v>0</v>
      </c>
      <c r="AZ316" t="s">
        <v>290</v>
      </c>
      <c r="BB316">
        <v>492510</v>
      </c>
      <c r="BC316" t="s">
        <v>99</v>
      </c>
      <c r="BD316" t="s">
        <v>268</v>
      </c>
      <c r="BE316" t="s">
        <v>290</v>
      </c>
      <c r="BF316" s="1">
        <v>46268</v>
      </c>
      <c r="BG316" t="s">
        <v>100</v>
      </c>
      <c r="BH316" t="str">
        <f t="shared" si="17"/>
        <v>720914577</v>
      </c>
      <c r="BI316" t="s">
        <v>101</v>
      </c>
      <c r="BJ316" t="s">
        <v>102</v>
      </c>
      <c r="BK316" t="s">
        <v>102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</row>
    <row r="317" spans="1:78">
      <c r="A317" t="s">
        <v>205</v>
      </c>
      <c r="B317" t="s">
        <v>380</v>
      </c>
      <c r="C317" t="s">
        <v>154</v>
      </c>
      <c r="D317" t="s">
        <v>381</v>
      </c>
      <c r="E317">
        <v>5891</v>
      </c>
      <c r="F317" t="s">
        <v>382</v>
      </c>
      <c r="G317">
        <v>1464860</v>
      </c>
      <c r="H317">
        <v>1161796</v>
      </c>
      <c r="I317">
        <v>37219590</v>
      </c>
      <c r="J317">
        <v>440129</v>
      </c>
      <c r="L317" t="s">
        <v>383</v>
      </c>
      <c r="M317" t="s">
        <v>384</v>
      </c>
      <c r="N317" t="s">
        <v>87</v>
      </c>
      <c r="O317" t="s">
        <v>363</v>
      </c>
      <c r="P317" t="s">
        <v>363</v>
      </c>
      <c r="Q317" t="s">
        <v>112</v>
      </c>
      <c r="R317" t="s">
        <v>385</v>
      </c>
      <c r="S317" t="s">
        <v>364</v>
      </c>
      <c r="T317" t="s">
        <v>340</v>
      </c>
      <c r="U317">
        <v>18</v>
      </c>
      <c r="V317">
        <v>13</v>
      </c>
      <c r="W317" t="str">
        <f>"6.3.6"</f>
        <v>6.3.6</v>
      </c>
      <c r="X317" t="s">
        <v>397</v>
      </c>
      <c r="Y317">
        <v>3536303</v>
      </c>
      <c r="Z317">
        <v>507496</v>
      </c>
      <c r="AA317" t="s">
        <v>94</v>
      </c>
      <c r="AB317" t="s">
        <v>95</v>
      </c>
      <c r="AC317" t="s">
        <v>96</v>
      </c>
      <c r="AD317" t="s">
        <v>95</v>
      </c>
      <c r="AE317" t="s">
        <v>95</v>
      </c>
      <c r="AF317" t="s">
        <v>95</v>
      </c>
      <c r="AN317" t="s">
        <v>95</v>
      </c>
      <c r="AQ317" t="s">
        <v>340</v>
      </c>
      <c r="AR317" t="s">
        <v>386</v>
      </c>
      <c r="AS317">
        <v>5100</v>
      </c>
      <c r="AT317" t="s">
        <v>117</v>
      </c>
      <c r="AU317" t="s">
        <v>118</v>
      </c>
      <c r="AV317">
        <v>2899</v>
      </c>
      <c r="AW317">
        <v>2899</v>
      </c>
      <c r="AX317">
        <v>2899</v>
      </c>
      <c r="AY317">
        <v>0</v>
      </c>
      <c r="AZ317" t="s">
        <v>290</v>
      </c>
      <c r="BB317">
        <v>492510</v>
      </c>
      <c r="BC317" t="s">
        <v>99</v>
      </c>
      <c r="BD317" t="s">
        <v>268</v>
      </c>
      <c r="BE317" t="s">
        <v>290</v>
      </c>
      <c r="BF317" s="1">
        <v>46268</v>
      </c>
      <c r="BG317" t="s">
        <v>100</v>
      </c>
      <c r="BH317" t="str">
        <f t="shared" si="17"/>
        <v>720914577</v>
      </c>
      <c r="BI317" t="s">
        <v>101</v>
      </c>
      <c r="BJ317" t="s">
        <v>102</v>
      </c>
      <c r="BK317" t="s">
        <v>102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</row>
    <row r="318" spans="1:78">
      <c r="A318" t="s">
        <v>205</v>
      </c>
      <c r="B318" t="s">
        <v>380</v>
      </c>
      <c r="C318" t="s">
        <v>154</v>
      </c>
      <c r="D318" t="s">
        <v>381</v>
      </c>
      <c r="E318">
        <v>5891</v>
      </c>
      <c r="F318" t="s">
        <v>382</v>
      </c>
      <c r="G318">
        <v>1464860</v>
      </c>
      <c r="H318">
        <v>1161796</v>
      </c>
      <c r="I318">
        <v>37219590</v>
      </c>
      <c r="J318">
        <v>440129</v>
      </c>
      <c r="L318" t="s">
        <v>383</v>
      </c>
      <c r="M318" t="s">
        <v>384</v>
      </c>
      <c r="N318" t="s">
        <v>87</v>
      </c>
      <c r="O318" t="s">
        <v>363</v>
      </c>
      <c r="P318" t="s">
        <v>363</v>
      </c>
      <c r="Q318" t="s">
        <v>112</v>
      </c>
      <c r="R318" t="s">
        <v>385</v>
      </c>
      <c r="S318" t="s">
        <v>364</v>
      </c>
      <c r="T318" t="s">
        <v>340</v>
      </c>
      <c r="U318">
        <v>19</v>
      </c>
      <c r="V318">
        <v>14</v>
      </c>
      <c r="W318" t="str">
        <f>"7.01"</f>
        <v>7.01</v>
      </c>
      <c r="X318" t="s">
        <v>376</v>
      </c>
      <c r="AA318" t="s">
        <v>94</v>
      </c>
      <c r="AB318" t="s">
        <v>95</v>
      </c>
      <c r="AC318" t="s">
        <v>96</v>
      </c>
      <c r="AD318" t="s">
        <v>95</v>
      </c>
      <c r="AE318" t="s">
        <v>95</v>
      </c>
      <c r="AF318" t="s">
        <v>95</v>
      </c>
      <c r="AN318" t="s">
        <v>95</v>
      </c>
      <c r="AQ318" t="s">
        <v>340</v>
      </c>
      <c r="AR318" t="s">
        <v>386</v>
      </c>
      <c r="AS318">
        <v>5200</v>
      </c>
      <c r="AT318" t="s">
        <v>126</v>
      </c>
      <c r="AU318" t="s">
        <v>190</v>
      </c>
      <c r="AV318">
        <v>2899</v>
      </c>
      <c r="AW318">
        <v>2899</v>
      </c>
      <c r="AX318">
        <v>2899</v>
      </c>
      <c r="AY318">
        <v>0</v>
      </c>
      <c r="AZ318" t="s">
        <v>290</v>
      </c>
      <c r="BB318">
        <v>492510</v>
      </c>
      <c r="BC318" t="s">
        <v>99</v>
      </c>
      <c r="BD318" t="s">
        <v>268</v>
      </c>
      <c r="BE318" t="s">
        <v>290</v>
      </c>
      <c r="BF318" s="1">
        <v>46268</v>
      </c>
      <c r="BG318" t="s">
        <v>100</v>
      </c>
      <c r="BH318" t="str">
        <f t="shared" si="17"/>
        <v>720914577</v>
      </c>
      <c r="BI318" t="s">
        <v>101</v>
      </c>
      <c r="BJ318" t="s">
        <v>102</v>
      </c>
      <c r="BK318" t="s">
        <v>102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</row>
    <row r="319" spans="1:78">
      <c r="A319" t="s">
        <v>205</v>
      </c>
      <c r="B319" t="s">
        <v>380</v>
      </c>
      <c r="C319" t="s">
        <v>154</v>
      </c>
      <c r="D319" t="s">
        <v>381</v>
      </c>
      <c r="E319">
        <v>5891</v>
      </c>
      <c r="F319" t="s">
        <v>382</v>
      </c>
      <c r="G319">
        <v>1464860</v>
      </c>
      <c r="H319">
        <v>1161796</v>
      </c>
      <c r="I319">
        <v>37219590</v>
      </c>
      <c r="J319">
        <v>440129</v>
      </c>
      <c r="L319" t="s">
        <v>383</v>
      </c>
      <c r="M319" t="s">
        <v>384</v>
      </c>
      <c r="N319" t="s">
        <v>87</v>
      </c>
      <c r="O319" t="s">
        <v>363</v>
      </c>
      <c r="P319" t="s">
        <v>363</v>
      </c>
      <c r="Q319" t="s">
        <v>112</v>
      </c>
      <c r="R319" t="s">
        <v>385</v>
      </c>
      <c r="S319" t="s">
        <v>364</v>
      </c>
      <c r="T319" t="s">
        <v>340</v>
      </c>
      <c r="U319">
        <v>20</v>
      </c>
      <c r="V319">
        <v>15</v>
      </c>
      <c r="W319" t="str">
        <f>"8.1"</f>
        <v>8.1</v>
      </c>
      <c r="X319" t="s">
        <v>204</v>
      </c>
      <c r="AA319" t="s">
        <v>94</v>
      </c>
      <c r="AB319" t="s">
        <v>95</v>
      </c>
      <c r="AC319" t="s">
        <v>96</v>
      </c>
      <c r="AD319" t="s">
        <v>95</v>
      </c>
      <c r="AE319" t="s">
        <v>95</v>
      </c>
      <c r="AF319" t="s">
        <v>95</v>
      </c>
      <c r="AN319" t="s">
        <v>95</v>
      </c>
      <c r="AQ319" t="s">
        <v>340</v>
      </c>
      <c r="AR319" t="s">
        <v>386</v>
      </c>
      <c r="AS319">
        <v>5838</v>
      </c>
      <c r="AT319" t="s">
        <v>198</v>
      </c>
      <c r="AU319" t="s">
        <v>204</v>
      </c>
      <c r="AV319">
        <v>2899</v>
      </c>
      <c r="AW319">
        <v>2899</v>
      </c>
      <c r="AX319">
        <v>2899</v>
      </c>
      <c r="AY319">
        <v>0</v>
      </c>
      <c r="AZ319" t="s">
        <v>290</v>
      </c>
      <c r="BB319">
        <v>492510</v>
      </c>
      <c r="BC319" t="s">
        <v>99</v>
      </c>
      <c r="BD319" t="s">
        <v>268</v>
      </c>
      <c r="BE319" t="s">
        <v>290</v>
      </c>
      <c r="BF319" s="1">
        <v>46268</v>
      </c>
      <c r="BG319" t="s">
        <v>100</v>
      </c>
      <c r="BH319" t="str">
        <f t="shared" si="17"/>
        <v>720914577</v>
      </c>
      <c r="BI319" t="s">
        <v>101</v>
      </c>
      <c r="BJ319" t="s">
        <v>102</v>
      </c>
      <c r="BK319" t="s">
        <v>102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</row>
    <row r="320" spans="1:78">
      <c r="A320" t="s">
        <v>205</v>
      </c>
      <c r="B320" t="s">
        <v>380</v>
      </c>
      <c r="C320" t="s">
        <v>154</v>
      </c>
      <c r="D320" t="s">
        <v>381</v>
      </c>
      <c r="E320">
        <v>5891</v>
      </c>
      <c r="F320" t="s">
        <v>382</v>
      </c>
      <c r="G320">
        <v>1464860</v>
      </c>
      <c r="H320">
        <v>1161796</v>
      </c>
      <c r="I320">
        <v>37219590</v>
      </c>
      <c r="J320">
        <v>440129</v>
      </c>
      <c r="L320" t="s">
        <v>383</v>
      </c>
      <c r="M320" t="s">
        <v>384</v>
      </c>
      <c r="N320" t="s">
        <v>87</v>
      </c>
      <c r="O320" t="s">
        <v>363</v>
      </c>
      <c r="P320" t="s">
        <v>363</v>
      </c>
      <c r="Q320" t="s">
        <v>112</v>
      </c>
      <c r="R320" t="s">
        <v>385</v>
      </c>
      <c r="S320" t="s">
        <v>364</v>
      </c>
      <c r="T320" t="s">
        <v>340</v>
      </c>
      <c r="U320">
        <v>21</v>
      </c>
      <c r="V320">
        <v>16</v>
      </c>
      <c r="W320" t="str">
        <f>"8.2"</f>
        <v>8.2</v>
      </c>
      <c r="X320" t="s">
        <v>398</v>
      </c>
      <c r="AA320" t="s">
        <v>94</v>
      </c>
      <c r="AB320" t="s">
        <v>95</v>
      </c>
      <c r="AC320" t="s">
        <v>96</v>
      </c>
      <c r="AD320" t="s">
        <v>95</v>
      </c>
      <c r="AE320" t="s">
        <v>95</v>
      </c>
      <c r="AF320" t="s">
        <v>95</v>
      </c>
      <c r="AN320" t="s">
        <v>95</v>
      </c>
      <c r="AQ320" t="s">
        <v>340</v>
      </c>
      <c r="AR320" t="s">
        <v>386</v>
      </c>
      <c r="AS320">
        <v>5804</v>
      </c>
      <c r="AT320" t="s">
        <v>198</v>
      </c>
      <c r="AU320" t="s">
        <v>399</v>
      </c>
      <c r="AV320">
        <v>2899</v>
      </c>
      <c r="AW320">
        <v>2899</v>
      </c>
      <c r="AX320">
        <v>2899</v>
      </c>
      <c r="AY320">
        <v>0</v>
      </c>
      <c r="AZ320" t="s">
        <v>290</v>
      </c>
      <c r="BB320">
        <v>492510</v>
      </c>
      <c r="BC320" t="s">
        <v>99</v>
      </c>
      <c r="BD320" t="s">
        <v>268</v>
      </c>
      <c r="BE320" t="s">
        <v>290</v>
      </c>
      <c r="BF320" s="1">
        <v>46268</v>
      </c>
      <c r="BG320" t="s">
        <v>100</v>
      </c>
      <c r="BH320" t="str">
        <f t="shared" si="17"/>
        <v>720914577</v>
      </c>
      <c r="BI320" t="s">
        <v>101</v>
      </c>
      <c r="BJ320" t="s">
        <v>102</v>
      </c>
      <c r="BK320" t="s">
        <v>102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</row>
    <row r="321" spans="1:78">
      <c r="A321" t="s">
        <v>205</v>
      </c>
      <c r="B321" t="s">
        <v>380</v>
      </c>
      <c r="C321" t="s">
        <v>154</v>
      </c>
      <c r="D321" t="s">
        <v>381</v>
      </c>
      <c r="E321">
        <v>5891</v>
      </c>
      <c r="F321" t="s">
        <v>382</v>
      </c>
      <c r="G321">
        <v>1464860</v>
      </c>
      <c r="H321">
        <v>1161796</v>
      </c>
      <c r="I321">
        <v>37219590</v>
      </c>
      <c r="J321">
        <v>440129</v>
      </c>
      <c r="L321" t="s">
        <v>383</v>
      </c>
      <c r="M321" t="s">
        <v>384</v>
      </c>
      <c r="N321" t="s">
        <v>87</v>
      </c>
      <c r="O321" t="s">
        <v>363</v>
      </c>
      <c r="P321" t="s">
        <v>363</v>
      </c>
      <c r="Q321" t="s">
        <v>112</v>
      </c>
      <c r="R321" t="s">
        <v>385</v>
      </c>
      <c r="S321" t="s">
        <v>364</v>
      </c>
      <c r="T321" t="s">
        <v>340</v>
      </c>
      <c r="U321">
        <v>22</v>
      </c>
      <c r="V321">
        <v>17</v>
      </c>
      <c r="W321" t="str">
        <f>"8.3"</f>
        <v>8.3</v>
      </c>
      <c r="X321" t="s">
        <v>400</v>
      </c>
      <c r="AA321" t="s">
        <v>94</v>
      </c>
      <c r="AB321" t="s">
        <v>95</v>
      </c>
      <c r="AC321" t="s">
        <v>96</v>
      </c>
      <c r="AD321" t="s">
        <v>95</v>
      </c>
      <c r="AE321" t="s">
        <v>95</v>
      </c>
      <c r="AF321" t="s">
        <v>95</v>
      </c>
      <c r="AN321" t="s">
        <v>95</v>
      </c>
      <c r="AQ321" t="s">
        <v>340</v>
      </c>
      <c r="AR321" t="s">
        <v>386</v>
      </c>
      <c r="AS321">
        <v>6180</v>
      </c>
      <c r="AT321" t="s">
        <v>98</v>
      </c>
      <c r="AU321" t="s">
        <v>401</v>
      </c>
      <c r="AV321">
        <v>2899</v>
      </c>
      <c r="AW321">
        <v>2899</v>
      </c>
      <c r="AX321">
        <v>2899</v>
      </c>
      <c r="AY321">
        <v>0</v>
      </c>
      <c r="AZ321" t="s">
        <v>290</v>
      </c>
      <c r="BB321">
        <v>492510</v>
      </c>
      <c r="BC321" t="s">
        <v>99</v>
      </c>
      <c r="BD321" t="s">
        <v>268</v>
      </c>
      <c r="BE321" t="s">
        <v>290</v>
      </c>
      <c r="BF321" s="1">
        <v>46268</v>
      </c>
      <c r="BG321" t="s">
        <v>100</v>
      </c>
      <c r="BH321" t="str">
        <f t="shared" si="17"/>
        <v>720914577</v>
      </c>
      <c r="BI321" t="s">
        <v>101</v>
      </c>
      <c r="BJ321" t="s">
        <v>102</v>
      </c>
      <c r="BK321" t="s">
        <v>102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</row>
    <row r="322" spans="1:78">
      <c r="A322" t="s">
        <v>80</v>
      </c>
      <c r="D322" t="s">
        <v>403</v>
      </c>
      <c r="E322">
        <v>24321</v>
      </c>
      <c r="G322">
        <v>1472180</v>
      </c>
      <c r="H322">
        <v>1167418</v>
      </c>
      <c r="I322">
        <v>37343043</v>
      </c>
      <c r="J322">
        <v>446015</v>
      </c>
      <c r="L322" t="s">
        <v>404</v>
      </c>
      <c r="M322" t="s">
        <v>405</v>
      </c>
      <c r="N322" t="s">
        <v>87</v>
      </c>
      <c r="O322" t="s">
        <v>310</v>
      </c>
      <c r="P322" t="s">
        <v>310</v>
      </c>
      <c r="Q322" t="s">
        <v>112</v>
      </c>
      <c r="R322" t="s">
        <v>406</v>
      </c>
      <c r="S322" t="s">
        <v>407</v>
      </c>
      <c r="T322" t="s">
        <v>364</v>
      </c>
      <c r="U322">
        <v>3</v>
      </c>
      <c r="V322">
        <v>1</v>
      </c>
      <c r="W322" t="str">
        <f>"1"</f>
        <v>1</v>
      </c>
      <c r="X322" t="s">
        <v>211</v>
      </c>
      <c r="AA322" t="s">
        <v>94</v>
      </c>
      <c r="AB322" t="s">
        <v>95</v>
      </c>
      <c r="AC322" t="s">
        <v>96</v>
      </c>
      <c r="AD322" t="s">
        <v>95</v>
      </c>
      <c r="AE322" t="s">
        <v>95</v>
      </c>
      <c r="AF322" t="s">
        <v>95</v>
      </c>
      <c r="AN322" t="s">
        <v>95</v>
      </c>
      <c r="AQ322" t="s">
        <v>340</v>
      </c>
      <c r="AS322">
        <v>5030</v>
      </c>
      <c r="AT322" t="s">
        <v>126</v>
      </c>
      <c r="AU322" t="s">
        <v>212</v>
      </c>
      <c r="AV322">
        <v>1600000</v>
      </c>
      <c r="AW322">
        <v>1600000</v>
      </c>
      <c r="AY322">
        <v>0</v>
      </c>
      <c r="BB322">
        <v>507031</v>
      </c>
      <c r="BC322" t="s">
        <v>99</v>
      </c>
      <c r="BD322" s="1">
        <v>46145</v>
      </c>
      <c r="BE322" s="1">
        <v>46145</v>
      </c>
      <c r="BG322" t="s">
        <v>100</v>
      </c>
      <c r="BH322" t="str">
        <f t="shared" ref="BH322:BH336" si="18">"720958442"</f>
        <v>720958442</v>
      </c>
      <c r="BI322" t="s">
        <v>101</v>
      </c>
      <c r="BJ322" t="s">
        <v>102</v>
      </c>
      <c r="BK322" t="s">
        <v>102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</row>
    <row r="323" spans="1:78">
      <c r="A323" t="s">
        <v>80</v>
      </c>
      <c r="D323" t="s">
        <v>403</v>
      </c>
      <c r="E323">
        <v>24321</v>
      </c>
      <c r="G323">
        <v>1472180</v>
      </c>
      <c r="H323">
        <v>1167418</v>
      </c>
      <c r="I323">
        <v>37343043</v>
      </c>
      <c r="J323">
        <v>446015</v>
      </c>
      <c r="L323" t="s">
        <v>404</v>
      </c>
      <c r="M323" t="s">
        <v>405</v>
      </c>
      <c r="N323" t="s">
        <v>87</v>
      </c>
      <c r="O323" t="s">
        <v>310</v>
      </c>
      <c r="P323" t="s">
        <v>310</v>
      </c>
      <c r="Q323" t="s">
        <v>112</v>
      </c>
      <c r="R323" t="s">
        <v>406</v>
      </c>
      <c r="S323" t="s">
        <v>407</v>
      </c>
      <c r="T323" t="s">
        <v>364</v>
      </c>
      <c r="U323">
        <v>4</v>
      </c>
      <c r="V323">
        <v>2</v>
      </c>
      <c r="W323" t="str">
        <f>"2"</f>
        <v>2</v>
      </c>
      <c r="X323" t="s">
        <v>190</v>
      </c>
      <c r="AA323" t="s">
        <v>94</v>
      </c>
      <c r="AB323" t="s">
        <v>95</v>
      </c>
      <c r="AC323" t="s">
        <v>96</v>
      </c>
      <c r="AD323" t="s">
        <v>95</v>
      </c>
      <c r="AE323" t="s">
        <v>95</v>
      </c>
      <c r="AF323" t="s">
        <v>95</v>
      </c>
      <c r="AN323" t="s">
        <v>95</v>
      </c>
      <c r="AQ323" t="s">
        <v>340</v>
      </c>
      <c r="AS323">
        <v>5200</v>
      </c>
      <c r="AT323" t="s">
        <v>126</v>
      </c>
      <c r="AU323" t="s">
        <v>190</v>
      </c>
      <c r="AV323">
        <v>1600000</v>
      </c>
      <c r="AW323">
        <v>1600000</v>
      </c>
      <c r="AY323">
        <v>0</v>
      </c>
      <c r="BB323">
        <v>507031</v>
      </c>
      <c r="BC323" t="s">
        <v>99</v>
      </c>
      <c r="BD323" s="1">
        <v>46145</v>
      </c>
      <c r="BE323" s="1">
        <v>46145</v>
      </c>
      <c r="BG323" t="s">
        <v>100</v>
      </c>
      <c r="BH323" t="str">
        <f t="shared" si="18"/>
        <v>720958442</v>
      </c>
      <c r="BI323" t="s">
        <v>101</v>
      </c>
      <c r="BJ323" t="s">
        <v>102</v>
      </c>
      <c r="BK323" t="s">
        <v>102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</row>
    <row r="324" spans="1:78">
      <c r="A324" t="s">
        <v>80</v>
      </c>
      <c r="D324" t="s">
        <v>403</v>
      </c>
      <c r="E324">
        <v>24321</v>
      </c>
      <c r="G324">
        <v>1472180</v>
      </c>
      <c r="H324">
        <v>1167418</v>
      </c>
      <c r="I324">
        <v>37343043</v>
      </c>
      <c r="J324">
        <v>446015</v>
      </c>
      <c r="L324" t="s">
        <v>404</v>
      </c>
      <c r="M324" t="s">
        <v>405</v>
      </c>
      <c r="N324" t="s">
        <v>87</v>
      </c>
      <c r="O324" t="s">
        <v>310</v>
      </c>
      <c r="P324" t="s">
        <v>310</v>
      </c>
      <c r="Q324" t="s">
        <v>112</v>
      </c>
      <c r="R324" t="s">
        <v>406</v>
      </c>
      <c r="S324" t="s">
        <v>407</v>
      </c>
      <c r="T324" t="s">
        <v>364</v>
      </c>
      <c r="U324">
        <v>5</v>
      </c>
      <c r="V324">
        <v>3</v>
      </c>
      <c r="W324" t="str">
        <f>"3"</f>
        <v>3</v>
      </c>
      <c r="X324" t="s">
        <v>222</v>
      </c>
      <c r="AA324" t="s">
        <v>94</v>
      </c>
      <c r="AB324" t="s">
        <v>95</v>
      </c>
      <c r="AC324" t="s">
        <v>96</v>
      </c>
      <c r="AD324" t="s">
        <v>95</v>
      </c>
      <c r="AE324" t="s">
        <v>95</v>
      </c>
      <c r="AF324" t="s">
        <v>95</v>
      </c>
      <c r="AN324" t="s">
        <v>95</v>
      </c>
      <c r="AQ324" t="s">
        <v>340</v>
      </c>
      <c r="AS324">
        <v>5230</v>
      </c>
      <c r="AT324" t="s">
        <v>126</v>
      </c>
      <c r="AU324" t="s">
        <v>222</v>
      </c>
      <c r="AV324">
        <v>1600000</v>
      </c>
      <c r="AW324">
        <v>1600000</v>
      </c>
      <c r="AY324">
        <v>0</v>
      </c>
      <c r="BB324">
        <v>507031</v>
      </c>
      <c r="BC324" t="s">
        <v>99</v>
      </c>
      <c r="BD324" s="1">
        <v>46145</v>
      </c>
      <c r="BE324" s="1">
        <v>46145</v>
      </c>
      <c r="BG324" t="s">
        <v>100</v>
      </c>
      <c r="BH324" t="str">
        <f t="shared" si="18"/>
        <v>720958442</v>
      </c>
      <c r="BI324" t="s">
        <v>101</v>
      </c>
      <c r="BJ324" t="s">
        <v>102</v>
      </c>
      <c r="BK324" t="s">
        <v>102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</row>
    <row r="325" spans="1:78">
      <c r="A325" t="s">
        <v>408</v>
      </c>
      <c r="D325" t="s">
        <v>403</v>
      </c>
      <c r="E325">
        <v>24321</v>
      </c>
      <c r="G325">
        <v>1472180</v>
      </c>
      <c r="H325">
        <v>1167418</v>
      </c>
      <c r="I325">
        <v>37341521</v>
      </c>
      <c r="J325">
        <v>446015</v>
      </c>
      <c r="L325" t="s">
        <v>404</v>
      </c>
      <c r="M325" t="s">
        <v>405</v>
      </c>
      <c r="N325" t="s">
        <v>87</v>
      </c>
      <c r="O325" t="s">
        <v>310</v>
      </c>
      <c r="P325" t="s">
        <v>310</v>
      </c>
      <c r="Q325" t="s">
        <v>112</v>
      </c>
      <c r="R325" t="s">
        <v>406</v>
      </c>
      <c r="S325" t="s">
        <v>407</v>
      </c>
      <c r="T325" t="s">
        <v>364</v>
      </c>
      <c r="U325">
        <v>3</v>
      </c>
      <c r="V325">
        <v>1</v>
      </c>
      <c r="W325" t="str">
        <f>"1"</f>
        <v>1</v>
      </c>
      <c r="X325" t="s">
        <v>211</v>
      </c>
      <c r="AA325" t="s">
        <v>94</v>
      </c>
      <c r="AB325" t="s">
        <v>95</v>
      </c>
      <c r="AC325" t="s">
        <v>96</v>
      </c>
      <c r="AD325" t="s">
        <v>95</v>
      </c>
      <c r="AE325" t="s">
        <v>95</v>
      </c>
      <c r="AF325" t="s">
        <v>95</v>
      </c>
      <c r="AN325" t="s">
        <v>95</v>
      </c>
      <c r="AQ325" t="s">
        <v>340</v>
      </c>
      <c r="AS325">
        <v>5030</v>
      </c>
      <c r="AT325" t="s">
        <v>126</v>
      </c>
      <c r="AU325" t="s">
        <v>212</v>
      </c>
      <c r="AV325">
        <v>4800000</v>
      </c>
      <c r="AW325">
        <v>4800000</v>
      </c>
      <c r="AY325">
        <v>0</v>
      </c>
      <c r="BB325">
        <v>507031</v>
      </c>
      <c r="BC325" t="s">
        <v>99</v>
      </c>
      <c r="BD325" s="1">
        <v>46145</v>
      </c>
      <c r="BE325" s="1">
        <v>46145</v>
      </c>
      <c r="BG325" t="s">
        <v>100</v>
      </c>
      <c r="BH325" t="str">
        <f t="shared" si="18"/>
        <v>720958442</v>
      </c>
      <c r="BI325" t="s">
        <v>101</v>
      </c>
      <c r="BJ325" t="s">
        <v>102</v>
      </c>
      <c r="BK325" t="s">
        <v>102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</row>
    <row r="326" spans="1:78">
      <c r="A326" t="s">
        <v>408</v>
      </c>
      <c r="D326" t="s">
        <v>403</v>
      </c>
      <c r="E326">
        <v>24321</v>
      </c>
      <c r="G326">
        <v>1472180</v>
      </c>
      <c r="H326">
        <v>1167418</v>
      </c>
      <c r="I326">
        <v>37341521</v>
      </c>
      <c r="J326">
        <v>446015</v>
      </c>
      <c r="L326" t="s">
        <v>404</v>
      </c>
      <c r="M326" t="s">
        <v>405</v>
      </c>
      <c r="N326" t="s">
        <v>87</v>
      </c>
      <c r="O326" t="s">
        <v>310</v>
      </c>
      <c r="P326" t="s">
        <v>310</v>
      </c>
      <c r="Q326" t="s">
        <v>112</v>
      </c>
      <c r="R326" t="s">
        <v>406</v>
      </c>
      <c r="S326" t="s">
        <v>407</v>
      </c>
      <c r="T326" t="s">
        <v>364</v>
      </c>
      <c r="U326">
        <v>4</v>
      </c>
      <c r="V326">
        <v>2</v>
      </c>
      <c r="W326" t="str">
        <f>"2"</f>
        <v>2</v>
      </c>
      <c r="X326" t="s">
        <v>190</v>
      </c>
      <c r="AA326" t="s">
        <v>94</v>
      </c>
      <c r="AB326" t="s">
        <v>95</v>
      </c>
      <c r="AC326" t="s">
        <v>96</v>
      </c>
      <c r="AD326" t="s">
        <v>95</v>
      </c>
      <c r="AE326" t="s">
        <v>95</v>
      </c>
      <c r="AF326" t="s">
        <v>95</v>
      </c>
      <c r="AN326" t="s">
        <v>95</v>
      </c>
      <c r="AQ326" t="s">
        <v>340</v>
      </c>
      <c r="AS326">
        <v>5200</v>
      </c>
      <c r="AT326" t="s">
        <v>126</v>
      </c>
      <c r="AU326" t="s">
        <v>190</v>
      </c>
      <c r="AV326">
        <v>4800000</v>
      </c>
      <c r="AW326">
        <v>4800000</v>
      </c>
      <c r="AY326">
        <v>0</v>
      </c>
      <c r="BB326">
        <v>507031</v>
      </c>
      <c r="BC326" t="s">
        <v>99</v>
      </c>
      <c r="BD326" s="1">
        <v>46145</v>
      </c>
      <c r="BE326" s="1">
        <v>46145</v>
      </c>
      <c r="BG326" t="s">
        <v>100</v>
      </c>
      <c r="BH326" t="str">
        <f t="shared" si="18"/>
        <v>720958442</v>
      </c>
      <c r="BI326" t="s">
        <v>101</v>
      </c>
      <c r="BJ326" t="s">
        <v>102</v>
      </c>
      <c r="BK326" t="s">
        <v>102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</row>
    <row r="327" spans="1:78">
      <c r="A327" t="s">
        <v>408</v>
      </c>
      <c r="D327" t="s">
        <v>403</v>
      </c>
      <c r="E327">
        <v>24321</v>
      </c>
      <c r="G327">
        <v>1472180</v>
      </c>
      <c r="H327">
        <v>1167418</v>
      </c>
      <c r="I327">
        <v>37341521</v>
      </c>
      <c r="J327">
        <v>446015</v>
      </c>
      <c r="L327" t="s">
        <v>404</v>
      </c>
      <c r="M327" t="s">
        <v>405</v>
      </c>
      <c r="N327" t="s">
        <v>87</v>
      </c>
      <c r="O327" t="s">
        <v>310</v>
      </c>
      <c r="P327" t="s">
        <v>310</v>
      </c>
      <c r="Q327" t="s">
        <v>112</v>
      </c>
      <c r="R327" t="s">
        <v>406</v>
      </c>
      <c r="S327" t="s">
        <v>407</v>
      </c>
      <c r="T327" t="s">
        <v>364</v>
      </c>
      <c r="U327">
        <v>5</v>
      </c>
      <c r="V327">
        <v>3</v>
      </c>
      <c r="W327" t="str">
        <f>"3"</f>
        <v>3</v>
      </c>
      <c r="X327" t="s">
        <v>222</v>
      </c>
      <c r="AA327" t="s">
        <v>94</v>
      </c>
      <c r="AB327" t="s">
        <v>95</v>
      </c>
      <c r="AC327" t="s">
        <v>96</v>
      </c>
      <c r="AD327" t="s">
        <v>95</v>
      </c>
      <c r="AE327" t="s">
        <v>95</v>
      </c>
      <c r="AF327" t="s">
        <v>95</v>
      </c>
      <c r="AN327" t="s">
        <v>95</v>
      </c>
      <c r="AQ327" t="s">
        <v>340</v>
      </c>
      <c r="AS327">
        <v>5230</v>
      </c>
      <c r="AT327" t="s">
        <v>126</v>
      </c>
      <c r="AU327" t="s">
        <v>222</v>
      </c>
      <c r="AV327">
        <v>4800000</v>
      </c>
      <c r="AW327">
        <v>4800000</v>
      </c>
      <c r="AY327">
        <v>0</v>
      </c>
      <c r="BB327">
        <v>507031</v>
      </c>
      <c r="BC327" t="s">
        <v>99</v>
      </c>
      <c r="BD327" s="1">
        <v>46145</v>
      </c>
      <c r="BE327" s="1">
        <v>46145</v>
      </c>
      <c r="BG327" t="s">
        <v>100</v>
      </c>
      <c r="BH327" t="str">
        <f t="shared" si="18"/>
        <v>720958442</v>
      </c>
      <c r="BI327" t="s">
        <v>101</v>
      </c>
      <c r="BJ327" t="s">
        <v>102</v>
      </c>
      <c r="BK327" t="s">
        <v>102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</row>
    <row r="328" spans="1:78">
      <c r="A328" t="s">
        <v>103</v>
      </c>
      <c r="D328" t="s">
        <v>403</v>
      </c>
      <c r="E328">
        <v>24321</v>
      </c>
      <c r="G328">
        <v>1472180</v>
      </c>
      <c r="H328">
        <v>1167418</v>
      </c>
      <c r="I328">
        <v>37343042</v>
      </c>
      <c r="J328">
        <v>446015</v>
      </c>
      <c r="L328" t="s">
        <v>404</v>
      </c>
      <c r="M328" t="s">
        <v>405</v>
      </c>
      <c r="N328" t="s">
        <v>87</v>
      </c>
      <c r="O328" t="s">
        <v>310</v>
      </c>
      <c r="P328" t="s">
        <v>310</v>
      </c>
      <c r="Q328" t="s">
        <v>112</v>
      </c>
      <c r="R328" t="s">
        <v>406</v>
      </c>
      <c r="S328" t="s">
        <v>407</v>
      </c>
      <c r="T328" t="s">
        <v>364</v>
      </c>
      <c r="U328">
        <v>3</v>
      </c>
      <c r="V328">
        <v>1</v>
      </c>
      <c r="W328" t="str">
        <f>"1"</f>
        <v>1</v>
      </c>
      <c r="X328" t="s">
        <v>211</v>
      </c>
      <c r="AA328" t="s">
        <v>94</v>
      </c>
      <c r="AB328" t="s">
        <v>95</v>
      </c>
      <c r="AC328" t="s">
        <v>96</v>
      </c>
      <c r="AD328" t="s">
        <v>95</v>
      </c>
      <c r="AE328" t="s">
        <v>95</v>
      </c>
      <c r="AF328" t="s">
        <v>95</v>
      </c>
      <c r="AN328" t="s">
        <v>95</v>
      </c>
      <c r="AQ328" t="s">
        <v>340</v>
      </c>
      <c r="AS328">
        <v>5030</v>
      </c>
      <c r="AT328" t="s">
        <v>126</v>
      </c>
      <c r="AU328" t="s">
        <v>212</v>
      </c>
      <c r="AV328">
        <v>1035000</v>
      </c>
      <c r="AW328">
        <v>1035000</v>
      </c>
      <c r="AY328">
        <v>0</v>
      </c>
      <c r="BB328">
        <v>507031</v>
      </c>
      <c r="BC328" t="s">
        <v>99</v>
      </c>
      <c r="BD328" s="1">
        <v>46145</v>
      </c>
      <c r="BE328" s="1">
        <v>46145</v>
      </c>
      <c r="BG328" t="s">
        <v>100</v>
      </c>
      <c r="BH328" t="str">
        <f t="shared" si="18"/>
        <v>720958442</v>
      </c>
      <c r="BI328" t="s">
        <v>101</v>
      </c>
      <c r="BJ328" t="s">
        <v>102</v>
      </c>
      <c r="BK328" t="s">
        <v>102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</row>
    <row r="329" spans="1:78">
      <c r="A329" t="s">
        <v>103</v>
      </c>
      <c r="D329" t="s">
        <v>403</v>
      </c>
      <c r="E329">
        <v>24321</v>
      </c>
      <c r="G329">
        <v>1472180</v>
      </c>
      <c r="H329">
        <v>1167418</v>
      </c>
      <c r="I329">
        <v>37343042</v>
      </c>
      <c r="J329">
        <v>446015</v>
      </c>
      <c r="L329" t="s">
        <v>404</v>
      </c>
      <c r="M329" t="s">
        <v>405</v>
      </c>
      <c r="N329" t="s">
        <v>87</v>
      </c>
      <c r="O329" t="s">
        <v>310</v>
      </c>
      <c r="P329" t="s">
        <v>310</v>
      </c>
      <c r="Q329" t="s">
        <v>112</v>
      </c>
      <c r="R329" t="s">
        <v>406</v>
      </c>
      <c r="S329" t="s">
        <v>407</v>
      </c>
      <c r="T329" t="s">
        <v>364</v>
      </c>
      <c r="U329">
        <v>4</v>
      </c>
      <c r="V329">
        <v>2</v>
      </c>
      <c r="W329" t="str">
        <f>"2"</f>
        <v>2</v>
      </c>
      <c r="X329" t="s">
        <v>190</v>
      </c>
      <c r="AA329" t="s">
        <v>94</v>
      </c>
      <c r="AB329" t="s">
        <v>95</v>
      </c>
      <c r="AC329" t="s">
        <v>96</v>
      </c>
      <c r="AD329" t="s">
        <v>95</v>
      </c>
      <c r="AE329" t="s">
        <v>95</v>
      </c>
      <c r="AF329" t="s">
        <v>95</v>
      </c>
      <c r="AN329" t="s">
        <v>95</v>
      </c>
      <c r="AQ329" t="s">
        <v>340</v>
      </c>
      <c r="AS329">
        <v>5200</v>
      </c>
      <c r="AT329" t="s">
        <v>126</v>
      </c>
      <c r="AU329" t="s">
        <v>190</v>
      </c>
      <c r="AV329">
        <v>1035000</v>
      </c>
      <c r="AW329">
        <v>1035000</v>
      </c>
      <c r="AY329">
        <v>0</v>
      </c>
      <c r="BB329">
        <v>507031</v>
      </c>
      <c r="BC329" t="s">
        <v>99</v>
      </c>
      <c r="BD329" s="1">
        <v>46145</v>
      </c>
      <c r="BE329" s="1">
        <v>46145</v>
      </c>
      <c r="BG329" t="s">
        <v>100</v>
      </c>
      <c r="BH329" t="str">
        <f t="shared" si="18"/>
        <v>720958442</v>
      </c>
      <c r="BI329" t="s">
        <v>101</v>
      </c>
      <c r="BJ329" t="s">
        <v>102</v>
      </c>
      <c r="BK329" t="s">
        <v>102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</row>
    <row r="330" spans="1:78">
      <c r="A330" t="s">
        <v>103</v>
      </c>
      <c r="D330" t="s">
        <v>403</v>
      </c>
      <c r="E330">
        <v>24321</v>
      </c>
      <c r="G330">
        <v>1472180</v>
      </c>
      <c r="H330">
        <v>1167418</v>
      </c>
      <c r="I330">
        <v>37343042</v>
      </c>
      <c r="J330">
        <v>446015</v>
      </c>
      <c r="L330" t="s">
        <v>404</v>
      </c>
      <c r="M330" t="s">
        <v>405</v>
      </c>
      <c r="N330" t="s">
        <v>87</v>
      </c>
      <c r="O330" t="s">
        <v>310</v>
      </c>
      <c r="P330" t="s">
        <v>310</v>
      </c>
      <c r="Q330" t="s">
        <v>112</v>
      </c>
      <c r="R330" t="s">
        <v>406</v>
      </c>
      <c r="S330" t="s">
        <v>407</v>
      </c>
      <c r="T330" t="s">
        <v>364</v>
      </c>
      <c r="U330">
        <v>5</v>
      </c>
      <c r="V330">
        <v>3</v>
      </c>
      <c r="W330" t="str">
        <f>"3"</f>
        <v>3</v>
      </c>
      <c r="X330" t="s">
        <v>222</v>
      </c>
      <c r="AA330" t="s">
        <v>94</v>
      </c>
      <c r="AB330" t="s">
        <v>95</v>
      </c>
      <c r="AC330" t="s">
        <v>96</v>
      </c>
      <c r="AD330" t="s">
        <v>95</v>
      </c>
      <c r="AE330" t="s">
        <v>95</v>
      </c>
      <c r="AF330" t="s">
        <v>95</v>
      </c>
      <c r="AN330" t="s">
        <v>95</v>
      </c>
      <c r="AQ330" t="s">
        <v>340</v>
      </c>
      <c r="AS330">
        <v>5230</v>
      </c>
      <c r="AT330" t="s">
        <v>126</v>
      </c>
      <c r="AU330" t="s">
        <v>222</v>
      </c>
      <c r="AV330">
        <v>1035000</v>
      </c>
      <c r="AW330">
        <v>1035000</v>
      </c>
      <c r="AY330">
        <v>0</v>
      </c>
      <c r="BB330">
        <v>507031</v>
      </c>
      <c r="BC330" t="s">
        <v>99</v>
      </c>
      <c r="BD330" s="1">
        <v>46145</v>
      </c>
      <c r="BE330" s="1">
        <v>46145</v>
      </c>
      <c r="BG330" t="s">
        <v>100</v>
      </c>
      <c r="BH330" t="str">
        <f t="shared" si="18"/>
        <v>720958442</v>
      </c>
      <c r="BI330" t="s">
        <v>101</v>
      </c>
      <c r="BJ330" t="s">
        <v>102</v>
      </c>
      <c r="BK330" t="s">
        <v>102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</row>
    <row r="331" spans="1:78">
      <c r="A331" t="s">
        <v>146</v>
      </c>
      <c r="D331" t="s">
        <v>403</v>
      </c>
      <c r="E331">
        <v>24321</v>
      </c>
      <c r="G331">
        <v>1472180</v>
      </c>
      <c r="H331">
        <v>1167418</v>
      </c>
      <c r="I331">
        <v>37341522</v>
      </c>
      <c r="J331">
        <v>446015</v>
      </c>
      <c r="L331" t="s">
        <v>404</v>
      </c>
      <c r="M331" t="s">
        <v>405</v>
      </c>
      <c r="N331" t="s">
        <v>87</v>
      </c>
      <c r="O331" t="s">
        <v>310</v>
      </c>
      <c r="P331" t="s">
        <v>310</v>
      </c>
      <c r="Q331" t="s">
        <v>112</v>
      </c>
      <c r="R331" t="s">
        <v>406</v>
      </c>
      <c r="S331" t="s">
        <v>407</v>
      </c>
      <c r="T331" t="s">
        <v>364</v>
      </c>
      <c r="U331">
        <v>3</v>
      </c>
      <c r="V331">
        <v>1</v>
      </c>
      <c r="W331" t="str">
        <f>"1"</f>
        <v>1</v>
      </c>
      <c r="X331" t="s">
        <v>211</v>
      </c>
      <c r="AA331" t="s">
        <v>94</v>
      </c>
      <c r="AB331" t="s">
        <v>95</v>
      </c>
      <c r="AC331" t="s">
        <v>96</v>
      </c>
      <c r="AD331" t="s">
        <v>95</v>
      </c>
      <c r="AE331" t="s">
        <v>95</v>
      </c>
      <c r="AF331" t="s">
        <v>95</v>
      </c>
      <c r="AN331" t="s">
        <v>95</v>
      </c>
      <c r="AQ331" t="s">
        <v>340</v>
      </c>
      <c r="AS331">
        <v>5030</v>
      </c>
      <c r="AT331" t="s">
        <v>126</v>
      </c>
      <c r="AU331" t="s">
        <v>212</v>
      </c>
      <c r="AV331">
        <v>165000</v>
      </c>
      <c r="AW331">
        <v>165000</v>
      </c>
      <c r="AY331">
        <v>0</v>
      </c>
      <c r="BB331">
        <v>507031</v>
      </c>
      <c r="BC331" t="s">
        <v>99</v>
      </c>
      <c r="BD331" s="1">
        <v>46145</v>
      </c>
      <c r="BE331" s="1">
        <v>46145</v>
      </c>
      <c r="BG331" t="s">
        <v>100</v>
      </c>
      <c r="BH331" t="str">
        <f t="shared" si="18"/>
        <v>720958442</v>
      </c>
      <c r="BI331" t="s">
        <v>101</v>
      </c>
      <c r="BJ331" t="s">
        <v>102</v>
      </c>
      <c r="BK331" t="s">
        <v>102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</row>
    <row r="332" spans="1:78">
      <c r="A332" t="s">
        <v>146</v>
      </c>
      <c r="D332" t="s">
        <v>403</v>
      </c>
      <c r="E332">
        <v>24321</v>
      </c>
      <c r="G332">
        <v>1472180</v>
      </c>
      <c r="H332">
        <v>1167418</v>
      </c>
      <c r="I332">
        <v>37341522</v>
      </c>
      <c r="J332">
        <v>446015</v>
      </c>
      <c r="L332" t="s">
        <v>404</v>
      </c>
      <c r="M332" t="s">
        <v>405</v>
      </c>
      <c r="N332" t="s">
        <v>87</v>
      </c>
      <c r="O332" t="s">
        <v>310</v>
      </c>
      <c r="P332" t="s">
        <v>310</v>
      </c>
      <c r="Q332" t="s">
        <v>112</v>
      </c>
      <c r="R332" t="s">
        <v>406</v>
      </c>
      <c r="S332" t="s">
        <v>407</v>
      </c>
      <c r="T332" t="s">
        <v>364</v>
      </c>
      <c r="U332">
        <v>4</v>
      </c>
      <c r="V332">
        <v>2</v>
      </c>
      <c r="W332" t="str">
        <f>"2"</f>
        <v>2</v>
      </c>
      <c r="X332" t="s">
        <v>190</v>
      </c>
      <c r="AA332" t="s">
        <v>94</v>
      </c>
      <c r="AB332" t="s">
        <v>95</v>
      </c>
      <c r="AC332" t="s">
        <v>96</v>
      </c>
      <c r="AD332" t="s">
        <v>95</v>
      </c>
      <c r="AE332" t="s">
        <v>95</v>
      </c>
      <c r="AF332" t="s">
        <v>95</v>
      </c>
      <c r="AN332" t="s">
        <v>95</v>
      </c>
      <c r="AQ332" t="s">
        <v>340</v>
      </c>
      <c r="AS332">
        <v>5200</v>
      </c>
      <c r="AT332" t="s">
        <v>126</v>
      </c>
      <c r="AU332" t="s">
        <v>190</v>
      </c>
      <c r="AV332">
        <v>165000</v>
      </c>
      <c r="AW332">
        <v>165000</v>
      </c>
      <c r="AY332">
        <v>0</v>
      </c>
      <c r="BB332">
        <v>507031</v>
      </c>
      <c r="BC332" t="s">
        <v>99</v>
      </c>
      <c r="BD332" s="1">
        <v>46145</v>
      </c>
      <c r="BE332" s="1">
        <v>46145</v>
      </c>
      <c r="BG332" t="s">
        <v>100</v>
      </c>
      <c r="BH332" t="str">
        <f t="shared" si="18"/>
        <v>720958442</v>
      </c>
      <c r="BI332" t="s">
        <v>101</v>
      </c>
      <c r="BJ332" t="s">
        <v>102</v>
      </c>
      <c r="BK332" t="s">
        <v>102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</row>
    <row r="333" spans="1:78">
      <c r="A333" t="s">
        <v>146</v>
      </c>
      <c r="D333" t="s">
        <v>403</v>
      </c>
      <c r="E333">
        <v>24321</v>
      </c>
      <c r="G333">
        <v>1472180</v>
      </c>
      <c r="H333">
        <v>1167418</v>
      </c>
      <c r="I333">
        <v>37341522</v>
      </c>
      <c r="J333">
        <v>446015</v>
      </c>
      <c r="L333" t="s">
        <v>404</v>
      </c>
      <c r="M333" t="s">
        <v>405</v>
      </c>
      <c r="N333" t="s">
        <v>87</v>
      </c>
      <c r="O333" t="s">
        <v>310</v>
      </c>
      <c r="P333" t="s">
        <v>310</v>
      </c>
      <c r="Q333" t="s">
        <v>112</v>
      </c>
      <c r="R333" t="s">
        <v>406</v>
      </c>
      <c r="S333" t="s">
        <v>407</v>
      </c>
      <c r="T333" t="s">
        <v>364</v>
      </c>
      <c r="U333">
        <v>5</v>
      </c>
      <c r="V333">
        <v>3</v>
      </c>
      <c r="W333" t="str">
        <f>"3"</f>
        <v>3</v>
      </c>
      <c r="X333" t="s">
        <v>222</v>
      </c>
      <c r="AA333" t="s">
        <v>94</v>
      </c>
      <c r="AB333" t="s">
        <v>95</v>
      </c>
      <c r="AC333" t="s">
        <v>96</v>
      </c>
      <c r="AD333" t="s">
        <v>95</v>
      </c>
      <c r="AE333" t="s">
        <v>95</v>
      </c>
      <c r="AF333" t="s">
        <v>95</v>
      </c>
      <c r="AN333" t="s">
        <v>95</v>
      </c>
      <c r="AQ333" t="s">
        <v>340</v>
      </c>
      <c r="AS333">
        <v>5230</v>
      </c>
      <c r="AT333" t="s">
        <v>126</v>
      </c>
      <c r="AU333" t="s">
        <v>222</v>
      </c>
      <c r="AV333">
        <v>165000</v>
      </c>
      <c r="AW333">
        <v>165000</v>
      </c>
      <c r="AY333">
        <v>0</v>
      </c>
      <c r="BB333">
        <v>507031</v>
      </c>
      <c r="BC333" t="s">
        <v>99</v>
      </c>
      <c r="BD333" s="1">
        <v>46145</v>
      </c>
      <c r="BE333" s="1">
        <v>46145</v>
      </c>
      <c r="BG333" t="s">
        <v>100</v>
      </c>
      <c r="BH333" t="str">
        <f t="shared" si="18"/>
        <v>720958442</v>
      </c>
      <c r="BI333" t="s">
        <v>101</v>
      </c>
      <c r="BJ333" t="s">
        <v>102</v>
      </c>
      <c r="BK333" t="s">
        <v>102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</row>
    <row r="334" spans="1:78">
      <c r="A334" t="s">
        <v>325</v>
      </c>
      <c r="D334" t="s">
        <v>403</v>
      </c>
      <c r="E334">
        <v>24321</v>
      </c>
      <c r="G334">
        <v>1472180</v>
      </c>
      <c r="H334">
        <v>1167418</v>
      </c>
      <c r="I334">
        <v>37341520</v>
      </c>
      <c r="J334">
        <v>446015</v>
      </c>
      <c r="L334" t="s">
        <v>404</v>
      </c>
      <c r="M334" t="s">
        <v>405</v>
      </c>
      <c r="N334" t="s">
        <v>87</v>
      </c>
      <c r="O334" t="s">
        <v>310</v>
      </c>
      <c r="P334" t="s">
        <v>310</v>
      </c>
      <c r="Q334" t="s">
        <v>112</v>
      </c>
      <c r="R334" t="s">
        <v>406</v>
      </c>
      <c r="S334" t="s">
        <v>407</v>
      </c>
      <c r="T334" t="s">
        <v>364</v>
      </c>
      <c r="U334">
        <v>3</v>
      </c>
      <c r="V334">
        <v>1</v>
      </c>
      <c r="W334" t="str">
        <f>"1"</f>
        <v>1</v>
      </c>
      <c r="X334" t="s">
        <v>211</v>
      </c>
      <c r="AA334" t="s">
        <v>94</v>
      </c>
      <c r="AB334" t="s">
        <v>95</v>
      </c>
      <c r="AC334" t="s">
        <v>96</v>
      </c>
      <c r="AD334" t="s">
        <v>95</v>
      </c>
      <c r="AE334" t="s">
        <v>95</v>
      </c>
      <c r="AF334" t="s">
        <v>95</v>
      </c>
      <c r="AN334" t="s">
        <v>95</v>
      </c>
      <c r="AQ334" t="s">
        <v>340</v>
      </c>
      <c r="AS334">
        <v>5030</v>
      </c>
      <c r="AT334" t="s">
        <v>126</v>
      </c>
      <c r="AU334" t="s">
        <v>212</v>
      </c>
      <c r="AV334">
        <v>9500000</v>
      </c>
      <c r="AW334">
        <v>9500000</v>
      </c>
      <c r="AX334">
        <v>9500000</v>
      </c>
      <c r="AY334">
        <v>0</v>
      </c>
      <c r="BB334">
        <v>507031</v>
      </c>
      <c r="BC334" t="s">
        <v>99</v>
      </c>
      <c r="BD334" s="1">
        <v>46145</v>
      </c>
      <c r="BE334" s="1">
        <v>46145</v>
      </c>
      <c r="BG334" t="s">
        <v>100</v>
      </c>
      <c r="BH334" t="str">
        <f t="shared" si="18"/>
        <v>720958442</v>
      </c>
      <c r="BI334" t="s">
        <v>101</v>
      </c>
      <c r="BJ334" t="s">
        <v>102</v>
      </c>
      <c r="BK334" t="s">
        <v>102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</row>
    <row r="335" spans="1:78">
      <c r="A335" t="s">
        <v>325</v>
      </c>
      <c r="D335" t="s">
        <v>403</v>
      </c>
      <c r="E335">
        <v>24321</v>
      </c>
      <c r="G335">
        <v>1472180</v>
      </c>
      <c r="H335">
        <v>1167418</v>
      </c>
      <c r="I335">
        <v>37341520</v>
      </c>
      <c r="J335">
        <v>446015</v>
      </c>
      <c r="L335" t="s">
        <v>404</v>
      </c>
      <c r="M335" t="s">
        <v>405</v>
      </c>
      <c r="N335" t="s">
        <v>87</v>
      </c>
      <c r="O335" t="s">
        <v>310</v>
      </c>
      <c r="P335" t="s">
        <v>310</v>
      </c>
      <c r="Q335" t="s">
        <v>112</v>
      </c>
      <c r="R335" t="s">
        <v>406</v>
      </c>
      <c r="S335" t="s">
        <v>407</v>
      </c>
      <c r="T335" t="s">
        <v>364</v>
      </c>
      <c r="U335">
        <v>4</v>
      </c>
      <c r="V335">
        <v>2</v>
      </c>
      <c r="W335" t="str">
        <f>"2"</f>
        <v>2</v>
      </c>
      <c r="X335" t="s">
        <v>190</v>
      </c>
      <c r="AA335" t="s">
        <v>94</v>
      </c>
      <c r="AB335" t="s">
        <v>95</v>
      </c>
      <c r="AC335" t="s">
        <v>96</v>
      </c>
      <c r="AD335" t="s">
        <v>95</v>
      </c>
      <c r="AE335" t="s">
        <v>95</v>
      </c>
      <c r="AF335" t="s">
        <v>95</v>
      </c>
      <c r="AN335" t="s">
        <v>95</v>
      </c>
      <c r="AQ335" t="s">
        <v>340</v>
      </c>
      <c r="AS335">
        <v>5200</v>
      </c>
      <c r="AT335" t="s">
        <v>126</v>
      </c>
      <c r="AU335" t="s">
        <v>190</v>
      </c>
      <c r="AV335">
        <v>9500000</v>
      </c>
      <c r="AW335">
        <v>9500000</v>
      </c>
      <c r="AX335">
        <v>9500000</v>
      </c>
      <c r="AY335">
        <v>0</v>
      </c>
      <c r="BB335">
        <v>507031</v>
      </c>
      <c r="BC335" t="s">
        <v>99</v>
      </c>
      <c r="BD335" s="1">
        <v>46145</v>
      </c>
      <c r="BE335" s="1">
        <v>46145</v>
      </c>
      <c r="BG335" t="s">
        <v>100</v>
      </c>
      <c r="BH335" t="str">
        <f t="shared" si="18"/>
        <v>720958442</v>
      </c>
      <c r="BI335" t="s">
        <v>101</v>
      </c>
      <c r="BJ335" t="s">
        <v>102</v>
      </c>
      <c r="BK335" t="s">
        <v>102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</row>
    <row r="336" spans="1:78">
      <c r="A336" t="s">
        <v>325</v>
      </c>
      <c r="D336" t="s">
        <v>403</v>
      </c>
      <c r="E336">
        <v>24321</v>
      </c>
      <c r="G336">
        <v>1472180</v>
      </c>
      <c r="H336">
        <v>1167418</v>
      </c>
      <c r="I336">
        <v>37341520</v>
      </c>
      <c r="J336">
        <v>446015</v>
      </c>
      <c r="L336" t="s">
        <v>404</v>
      </c>
      <c r="M336" t="s">
        <v>405</v>
      </c>
      <c r="N336" t="s">
        <v>87</v>
      </c>
      <c r="O336" t="s">
        <v>310</v>
      </c>
      <c r="P336" t="s">
        <v>310</v>
      </c>
      <c r="Q336" t="s">
        <v>112</v>
      </c>
      <c r="R336" t="s">
        <v>406</v>
      </c>
      <c r="S336" t="s">
        <v>407</v>
      </c>
      <c r="T336" t="s">
        <v>364</v>
      </c>
      <c r="U336">
        <v>5</v>
      </c>
      <c r="V336">
        <v>3</v>
      </c>
      <c r="W336" t="str">
        <f>"3"</f>
        <v>3</v>
      </c>
      <c r="X336" t="s">
        <v>222</v>
      </c>
      <c r="AA336" t="s">
        <v>94</v>
      </c>
      <c r="AB336" t="s">
        <v>95</v>
      </c>
      <c r="AC336" t="s">
        <v>96</v>
      </c>
      <c r="AD336" t="s">
        <v>95</v>
      </c>
      <c r="AE336" t="s">
        <v>95</v>
      </c>
      <c r="AF336" t="s">
        <v>95</v>
      </c>
      <c r="AN336" t="s">
        <v>95</v>
      </c>
      <c r="AQ336" t="s">
        <v>340</v>
      </c>
      <c r="AS336">
        <v>5230</v>
      </c>
      <c r="AT336" t="s">
        <v>126</v>
      </c>
      <c r="AU336" t="s">
        <v>222</v>
      </c>
      <c r="AV336">
        <v>9500000</v>
      </c>
      <c r="AW336">
        <v>9500000</v>
      </c>
      <c r="AX336">
        <v>9500000</v>
      </c>
      <c r="AY336">
        <v>0</v>
      </c>
      <c r="BB336">
        <v>507031</v>
      </c>
      <c r="BC336" t="s">
        <v>99</v>
      </c>
      <c r="BD336" s="1">
        <v>46145</v>
      </c>
      <c r="BE336" s="1">
        <v>46145</v>
      </c>
      <c r="BG336" t="s">
        <v>100</v>
      </c>
      <c r="BH336" t="str">
        <f t="shared" si="18"/>
        <v>720958442</v>
      </c>
      <c r="BI336" t="s">
        <v>101</v>
      </c>
      <c r="BJ336" t="s">
        <v>102</v>
      </c>
      <c r="BK336" t="s">
        <v>102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0e7d9a3-4cc4-4655-a38e-8b11f2141e97}" enabled="1" method="Privileged" siteId="{3c7593b4-d1fe-4abc-a0af-b6c4f6f46d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-New-Configuration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Bromfield</dc:creator>
  <cp:lastModifiedBy>Louis Bromfield</cp:lastModifiedBy>
  <dcterms:created xsi:type="dcterms:W3CDTF">2026-05-18T09:16:50Z</dcterms:created>
  <dcterms:modified xsi:type="dcterms:W3CDTF">2026-05-18T09:23:52Z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e7d9a3-4cc4-4655-a38e-8b11f2141e97_Enabled">
    <vt:lpwstr>true</vt:lpwstr>
  </property>
  <property fmtid="{D5CDD505-2E9C-101B-9397-08002B2CF9AE}" pid="3" name="MSIP_Label_40e7d9a3-4cc4-4655-a38e-8b11f2141e97_SetDate">
    <vt:lpwstr>2026-05-18T09:16:50Z</vt:lpwstr>
  </property>
  <property fmtid="{D5CDD505-2E9C-101B-9397-08002B2CF9AE}" pid="4" name="MSIP_Label_40e7d9a3-4cc4-4655-a38e-8b11f2141e97_Method">
    <vt:lpwstr>Standard</vt:lpwstr>
  </property>
  <property fmtid="{D5CDD505-2E9C-101B-9397-08002B2CF9AE}" pid="5" name="MSIP_Label_40e7d9a3-4cc4-4655-a38e-8b11f2141e97_Name">
    <vt:lpwstr>PublicV2</vt:lpwstr>
  </property>
  <property fmtid="{D5CDD505-2E9C-101B-9397-08002B2CF9AE}" pid="6" name="MSIP_Label_40e7d9a3-4cc4-4655-a38e-8b11f2141e97_SiteId">
    <vt:lpwstr>3c7593b4-d1fe-4abc-a0af-b6c4f6f46dfe</vt:lpwstr>
  </property>
  <property fmtid="{D5CDD505-2E9C-101B-9397-08002B2CF9AE}" pid="7" name="MSIP_Label_40e7d9a3-4cc4-4655-a38e-8b11f2141e97_ActionId">
    <vt:lpwstr>a8f4596a-25c5-4fa1-861c-dbec92a024df</vt:lpwstr>
  </property>
  <property fmtid="{D5CDD505-2E9C-101B-9397-08002B2CF9AE}" pid="8" name="MSIP_Label_40e7d9a3-4cc4-4655-a38e-8b11f2141e97_ContentBits">
    <vt:lpwstr>0</vt:lpwstr>
  </property>
</Properties>
</file>